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5. Junio\"/>
    </mc:Choice>
  </mc:AlternateContent>
  <workbookProtection workbookAlgorithmName="SHA-512" workbookHashValue="MWhzzi7v9U75VkJMmzkQxus9Bixfzyn2mfLV92YgLvEGGpOVl6L9J/ruo2sqB2CIihSo27PcuzVCk9jJKCUpLg==" workbookSaltValue="VralD7RXSC921Y9aNIR0Sg==" workbookSpinCount="100000" lockStructure="1"/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13" r:id="rId8"/>
    <pivotCache cacheId="17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2" i="32"/>
  <c r="C16" i="2"/>
  <c r="B9" i="2"/>
  <c r="H49" i="32"/>
  <c r="C9" i="2"/>
  <c r="B18" i="2"/>
  <c r="G43" i="32"/>
  <c r="G53" i="32"/>
  <c r="G47" i="32"/>
  <c r="D16" i="2"/>
  <c r="C10" i="2"/>
  <c r="H47" i="32"/>
  <c r="H51" i="32"/>
  <c r="D19" i="2"/>
  <c r="B7" i="2"/>
  <c r="C7" i="2"/>
  <c r="D9" i="2"/>
  <c r="H50" i="32"/>
  <c r="B10" i="2"/>
  <c r="B19" i="2"/>
  <c r="D18" i="2"/>
  <c r="H44" i="32"/>
  <c r="D7" i="2"/>
  <c r="D20" i="2"/>
  <c r="C19" i="2"/>
  <c r="G45" i="32"/>
  <c r="H46" i="32"/>
  <c r="G52" i="32"/>
  <c r="H43" i="32"/>
  <c r="C18" i="2"/>
  <c r="G44" i="32"/>
  <c r="B20" i="2"/>
  <c r="C17" i="2"/>
  <c r="B16" i="2"/>
  <c r="G49" i="32"/>
  <c r="H42" i="32"/>
  <c r="H45" i="32"/>
  <c r="D10" i="2"/>
  <c r="G48" i="32"/>
  <c r="H48" i="32"/>
  <c r="C20" i="2"/>
  <c r="B17" i="2"/>
  <c r="G51" i="32"/>
  <c r="H52" i="32"/>
  <c r="G46" i="32"/>
  <c r="H53" i="32"/>
  <c r="D17" i="2"/>
  <c r="G50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<sst xmlns="http://schemas.openxmlformats.org/spreadsheetml/2006/main" count="2325" uniqueCount="212">
  <si>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</si>
  <si>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</si>
  <si>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</si>
  <si>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</si>
  <si>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</si>
  <si>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</si>
  <si>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</si>
  <si>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</si>
  <si>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</si>
  <si>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</si>
  <si>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</si>
  <si>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</si>
  <si>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</si>
  <si>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</si>
  <si>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</si>
  <si>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</si>
  <si>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</si>
  <si>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</si>
  <si>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</si>
  <si>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</si>
  <si>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</si>
  <si>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</si>
  <si>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</si>
  <si>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</si>
  <si>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</si>
  <si>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</si>
  <si>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</si>
  <si>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</si>
  <si>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</si>
  <si>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</si>
  <si>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</si>
  <si>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</si>
  <si>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</si>
  <si>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</si>
  <si>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</si>
  <si>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</si>
  <si>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</si>
  <si>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</si>
  <si>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</si>
  <si>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</si>
  <si>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</si>
  <si>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</si>
  <si>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</si>
  <si>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</si>
  <si>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</si>
  <si>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</si>
  <si>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</si>
  <si>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</si>
  <si>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</si>
  <si>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</si>
  <si>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</si>
  <si>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</si>
  <si>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</si>
  <si>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</si>
  <si>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</si>
  <si>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</si>
  <si>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</si>
  <si>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</si>
  <si>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</si>
  <si>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</si>
  <si>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</si>
  <si>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</si>
  <si>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</si>
  <si>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</si>
  <si>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</si>
  <si>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</si>
  <si>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</si>
  <si>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</si>
  <si>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</si>
  <si>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</si>
  <si>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</si>
  <si>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</si>
  <si>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</si>
  <si>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</si>
  <si>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</si>
  <si>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</si>
  <si>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</si>
  <si>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</si>
  <si>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</si>
  <si>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</si>
  <si>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</si>
  <si>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</si>
  <si>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</si>
  <si>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</si>
  <si>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</si>
  <si>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</si>
  <si>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</si>
  <si>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</si>
  <si>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</si>
  <si>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</si>
  <si>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</si>
  <si>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</si>
  <si>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</si>
  <si>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</si>
  <si>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</si>
  <si>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</si>
  <si>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</si>
  <si>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</si>
  <si>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</si>
  <si>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</si>
  <si>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</si>
  <si>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</si>
  <si>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</si>
  <si>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</si>
  <si>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</si>
  <si>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</si>
  <si>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</si>
  <si>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</si>
  <si>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</si>
  <si>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</si>
  <si>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</si>
  <si>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</si>
  <si>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</si>
  <si>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</si>
  <si>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</si>
  <si>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</si>
  <si>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</si>
  <si>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</si>
  <si>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</si>
  <si>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</si>
  <si>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</si>
  <si>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</si>
  <si>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</si>
  <si>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</si>
  <si>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</si>
  <si>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</si>
  <si>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</si>
  <si>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</si>
  <si>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</si>
  <si>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</si>
  <si>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</si>
  <si>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</si>
  <si>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</si>
  <si>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</si>
  <si>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</si>
  <si>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</si>
  <si>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</si>
  <si>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</si>
  <si>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</si>
  <si>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</si>
  <si>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</si>
  <si>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</si>
  <si>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</si>
  <si>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</si>
  <si>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</si>
  <si>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</si>
  <si>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</si>
  <si>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</si>
  <si>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</si>
  <si>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</si>
  <si>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</si>
  <si>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</si>
  <si>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</si>
  <si>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</si>
  <si>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</si>
  <si>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</si>
  <si>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</si>
  <si>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</si>
  <si>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</si>
  <si>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</si>
  <si>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</si>
  <si>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</si>
  <si>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</si>
  <si>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</si>
  <si>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</si>
  <si>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</si>
  <si>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</si>
  <si>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</si>
  <si>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</si>
  <si>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</si>
  <si>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</si>
  <si>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</si>
  <si>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</si>
  <si>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</si>
  <si>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</si>
  <si>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</si>
  <si>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</si>
  <si>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</si>
  <si>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</si>
  <si>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</si>
  <si>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</si>
  <si>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</si>
  <si>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</si>
  <si>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</si>
  <si>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</si>
  <si>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</si>
  <si>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</si>
  <si>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</si>
  <si>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</si>
  <si>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</si>
  <si>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</si>
  <si>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</si>
  <si>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</si>
  <si>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</si>
  <si>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</si>
  <si>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</si>
  <si>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</si>
  <si>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</si>
  <si>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</si>
  <si>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</si>
  <si>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</si>
  <si>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</si>
  <si>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</si>
  <si>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</si>
  <si>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</si>
  <si>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</si>
  <si>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>A-08-05</t>
  </si>
  <si>
    <t>05</t>
  </si>
  <si>
    <t>MULTAS, SANCIONES E INTERESES DE MORA</t>
  </si>
  <si>
    <t xml:space="preserve">EJECUCIÓN PRESUPUESTAL </t>
  </si>
  <si>
    <t xml:space="preserve">2024 ( Millones) 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</si>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</sst>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left" vertical="center" wrapText="1" readingOrder="1"/>
    </xf>
    <xf numFmtId="0" fontId="24" fillId="0" borderId="6" xfId="0" applyNumberFormat="1" applyFont="1" applyFill="1" applyBorder="1" applyAlignment="1">
      <alignment vertical="center" wrapText="1" readingOrder="1"/>
    </xf>
    <xf numFmtId="164" fontId="24" fillId="0" borderId="6" xfId="0" applyNumberFormat="1" applyFont="1" applyFill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 applyAlignment="1"/>
    <xf numFmtId="0" fontId="35" fillId="3" borderId="0" xfId="0" applyFont="1" applyFill="1" applyBorder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4949305558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8343068291"/>
    </cacheField>
    <cacheField name="APR. REDUCIDA" numFmtId="0">
      <sharedItems containsString="0" containsBlank="1" containsNumber="1" containsInteger="1" minValue="0" maxValue="11258823000"/>
    </cacheField>
    <cacheField name="APR. VIGENTE" numFmtId="0">
      <sharedItems containsString="0" containsBlank="1" containsNumber="1" containsInteger="1" minValue="0" maxValue="72273003291"/>
    </cacheField>
    <cacheField name="APR BLOQUEADA" numFmtId="0">
      <sharedItems containsString="0" containsBlank="1" containsNumber="1" containsInteger="1" minValue="0" maxValue="700000000"/>
    </cacheField>
    <cacheField name="CDP" numFmtId="0">
      <sharedItems containsString="0" containsBlank="1" containsNumber="1" minValue="0" maxValue="63929935000"/>
    </cacheField>
    <cacheField name="APR. DISPONIBLE" numFmtId="0">
      <sharedItems containsString="0" containsBlank="1" containsNumber="1" minValue="0" maxValue="15884740737.24"/>
    </cacheField>
    <cacheField name="COMPROMISO" numFmtId="0">
      <sharedItems containsString="0" containsBlank="1" containsNumber="1" minValue="0" maxValue="32516926241"/>
    </cacheField>
    <cacheField name="OBLIGACION" numFmtId="0">
      <sharedItems containsString="0" containsBlank="1" containsNumber="1" minValue="0" maxValue="32346612352.57"/>
    </cacheField>
    <cacheField name="ORDEN PAGO" numFmtId="0">
      <sharedItems containsString="0" containsBlank="1" containsNumber="1" minValue="0" maxValue="32346612352.57"/>
    </cacheField>
    <cacheField name="PAGOS" numFmtId="0">
      <sharedItems containsString="0" containsBlank="1" containsNumber="1" minValue="0" maxValue="32346612352.57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4950347221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44343714406700763" maxValue="0.44343714406700763"/>
    </cacheField>
    <cacheField name="ACTUAL-OBLIGADO" numFmtId="168">
      <sharedItems containsMixedTypes="1" containsNumber="1" minValue="0.37394903662480633" maxValue="0.373949036624806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8343068291"/>
    <n v="0"/>
    <n v="72273003291"/>
    <n v="0"/>
    <n v="63929935000"/>
    <n v="8343068291"/>
    <n v="32516926241"/>
    <n v="32346612352.57"/>
    <n v="32346612352.57"/>
    <n v="32346612352.57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2505369519"/>
    <n v="0"/>
    <n v="26998740519"/>
    <n v="0"/>
    <n v="24493371000"/>
    <n v="2505369519"/>
    <n v="10493612468"/>
    <n v="10493612468"/>
    <n v="10493612468"/>
    <n v="10493612468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410385190"/>
    <n v="0"/>
    <n v="20424619190"/>
    <n v="0"/>
    <n v="20014234000"/>
    <n v="410385190"/>
    <n v="9837556277"/>
    <n v="9751708174"/>
    <n v="9751708174"/>
    <n v="9751708174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11258823000"/>
    <n v="122543000"/>
    <n v="122543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33439323"/>
    <n v="33439323"/>
    <n v="33439323"/>
    <n v="33439323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7640564"/>
    <n v="7640564"/>
    <n v="7640564"/>
    <n v="7640564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7709997"/>
    <n v="7709997"/>
    <n v="7709997"/>
    <n v="7709997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7469940664.799999"/>
    <n v="462226335.19999999"/>
    <n v="14590065552.790001"/>
    <n v="6772801978.3900003"/>
    <n v="6749676273.8699999"/>
    <n v="6749676273.8699999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700000000"/>
    <n v="559000000"/>
    <n v="0"/>
    <n v="160462691.80000001"/>
    <n v="123334691.8"/>
    <n v="123334691.8"/>
    <n v="123334691.8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38582225.149999999"/>
    <n v="384517774.85000002"/>
    <n v="38582225.149999999"/>
    <n v="38582225.149999999"/>
    <n v="36624244.420000002"/>
    <n v="36624244.420000002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3000000"/>
    <n v="467922000"/>
    <n v="0"/>
    <n v="0"/>
    <n v="467922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55546632"/>
    <n v="255010212"/>
    <n v="255010212"/>
    <n v="255010212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0"/>
    <n v="0"/>
    <n v="22331000"/>
    <n v="0"/>
    <n v="22331000"/>
    <n v="0"/>
    <n v="19500000"/>
    <n v="19500000"/>
    <n v="19500000"/>
    <n v="195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0"/>
    <n v="3044177000"/>
    <n v="0"/>
    <n v="1163659985"/>
    <n v="1880517015"/>
    <n v="1163659985"/>
    <n v="1163659985"/>
    <n v="1163659985"/>
    <n v="1163659985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6695520986.1499996"/>
    <n v="6954479013.8500004"/>
    <n v="6695520986.1499996"/>
    <n v="6694766840.0299997"/>
    <n v="6694766840.0299997"/>
    <n v="6694766840.0299997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659246063"/>
    <n v="1340753937"/>
    <n v="1410330711.0999999"/>
    <n v="1410330711.0999999"/>
    <n v="1410330711.0999999"/>
    <n v="1410330711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0"/>
    <n v="0"/>
    <n v="3171900000"/>
    <n v="0"/>
    <n v="3171900000"/>
    <n v="0"/>
    <n v="2326820720"/>
    <n v="2274620720"/>
    <n v="2251420720"/>
    <n v="2251420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171537602"/>
    <n v="377804201.62"/>
    <n v="377804201.62"/>
    <n v="377804201.62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0"/>
    <n v="0"/>
    <n v="238090000"/>
    <n v="0"/>
    <n v="230466812"/>
    <n v="7623188"/>
    <n v="230466812"/>
    <n v="230405776"/>
    <n v="230405776"/>
    <n v="23040577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60100"/>
    <n v="960100"/>
    <n v="960100"/>
    <n v="9601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295541014.0100002"/>
    <n v="171803330.99000001"/>
    <n v="4289281297.0100002"/>
    <n v="1581375221.79"/>
    <n v="1572138257.79"/>
    <n v="1572138257.79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8921409713.7600002"/>
    <n v="15884740737.24"/>
    <n v="7722913426.1499996"/>
    <n v="2324289780.54"/>
    <n v="2276909780.54"/>
    <n v="2276909780.54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2495736666.6599998"/>
    <n v="540226169.34000003"/>
    <n v="70736666.659999996"/>
    <n v="17303333.329999998"/>
    <n v="17303333.329999998"/>
    <n v="17303333.329999998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44343714406700763"/>
    <n v="0.37394903662480633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2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2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0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5" cacheId="13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6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2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8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4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G13" sqref="G13"/>
    </sheetView>
  </sheetViews>
  <sheetFormatPr baseColWidth="10" defaultRowHeight="15"/>
  <cols>
    <col min="1" max="1" width="66.44140625" style="94" customWidth="1"/>
    <col min="2" max="4" width="19.5546875" style="108" customWidth="1"/>
    <col min="5" max="5" width="23.5546875" style="108" customWidth="1"/>
    <col min="6" max="6" width="19.6640625" style="94" customWidth="1"/>
    <col min="7" max="7" width="17.77734375" style="94" customWidth="1"/>
    <col min="8" max="16384" width="11.5546875" style="94"/>
  </cols>
  <sheetData>
    <row r="2" spans="1:12" s="131" customFormat="1" ht="39.75" customHeight="1">
      <c r="A2" s="134" t="s">
        <v>211</v>
      </c>
      <c r="B2" s="134"/>
      <c r="C2" s="134"/>
      <c r="D2" s="134"/>
      <c r="E2" s="134"/>
      <c r="F2" s="134"/>
      <c r="G2" s="134"/>
      <c r="H2" s="130"/>
      <c r="I2" s="130"/>
      <c r="J2" s="130"/>
      <c r="K2" s="130"/>
      <c r="L2" s="130"/>
    </row>
    <row r="3" spans="1:12" ht="24" customHeight="1">
      <c r="A3" s="135" t="s">
        <v>131</v>
      </c>
      <c r="B3" s="135"/>
      <c r="C3" s="135"/>
      <c r="D3" s="135"/>
      <c r="E3" s="135"/>
      <c r="F3" s="135"/>
      <c r="G3" s="135"/>
    </row>
    <row r="4" spans="1:12" ht="31.5">
      <c r="A4" s="95" t="s">
        <v>107</v>
      </c>
      <c r="B4" s="96" t="s">
        <v>108</v>
      </c>
      <c r="C4" s="96" t="s">
        <v>109</v>
      </c>
      <c r="D4" s="96" t="s">
        <v>110</v>
      </c>
      <c r="E4" s="96" t="s">
        <v>111</v>
      </c>
      <c r="F4" s="97" t="s">
        <v>112</v>
      </c>
      <c r="G4" s="98" t="s">
        <v>113</v>
      </c>
    </row>
    <row r="5" spans="1:12" ht="15.75">
      <c r="A5" s="99"/>
      <c r="B5" s="96">
        <v>-1</v>
      </c>
      <c r="C5" s="96">
        <v>-2</v>
      </c>
      <c r="D5" s="96">
        <v>-3</v>
      </c>
      <c r="E5" s="96" t="s">
        <v>114</v>
      </c>
      <c r="F5" s="97" t="s">
        <v>115</v>
      </c>
      <c r="G5" s="98" t="s">
        <v>116</v>
      </c>
    </row>
    <row r="6" spans="1:12" ht="36">
      <c r="A6" s="100" t="s">
        <v>117</v>
      </c>
      <c r="B6" s="111">
        <f t="shared" ref="B6:G6" si="0">+B7</f>
        <v>4467344345</v>
      </c>
      <c r="C6" s="111">
        <f t="shared" si="0"/>
        <v>4289281297.0100002</v>
      </c>
      <c r="D6" s="111">
        <f t="shared" si="0"/>
        <v>1581375221.79</v>
      </c>
      <c r="E6" s="111">
        <f t="shared" si="0"/>
        <v>178063047.98999977</v>
      </c>
      <c r="F6" s="112">
        <f t="shared" si="0"/>
        <v>0.96014118585031538</v>
      </c>
      <c r="G6" s="112">
        <f t="shared" si="0"/>
        <v>0.35398552241891262</v>
      </c>
    </row>
    <row r="7" spans="1:12" ht="57">
      <c r="A7" s="101" t="s">
        <v>118</v>
      </c>
      <c r="B7" s="113">
        <f>GETPIVOTDATA("Suma de APR. VIGENTE",CRIS!$A$3,"CM - A","C3")</f>
        <v>4467344345</v>
      </c>
      <c r="C7" s="113">
        <f>GETPIVOTDATA("Suma de COMPROMISO",CRIS!$A$3,"CM - A","C3")</f>
        <v>4289281297.0100002</v>
      </c>
      <c r="D7" s="113">
        <f>GETPIVOTDATA("Suma de OBLIGACION",CRIS!$A$3,"CM - A","C3")</f>
        <v>1581375221.79</v>
      </c>
      <c r="E7" s="114">
        <f>+B7-C7</f>
        <v>178063047.98999977</v>
      </c>
      <c r="F7" s="115">
        <f>+C7/B7</f>
        <v>0.96014118585031538</v>
      </c>
      <c r="G7" s="116">
        <f>+D7/B7</f>
        <v>0.35398552241891262</v>
      </c>
    </row>
    <row r="8" spans="1:12" ht="36">
      <c r="A8" s="100" t="s">
        <v>119</v>
      </c>
      <c r="B8" s="111">
        <f>SUM(B9:B10)</f>
        <v>27842113287</v>
      </c>
      <c r="C8" s="111">
        <f>SUM(C9:C10)</f>
        <v>7793650092.8099995</v>
      </c>
      <c r="D8" s="111">
        <f>SUM(D9:D10)</f>
        <v>2341593113.8699999</v>
      </c>
      <c r="E8" s="111">
        <f>SUM(E9:E10)</f>
        <v>20048463194.190002</v>
      </c>
      <c r="F8" s="117">
        <f>+C8/B8</f>
        <v>0.27992307956195983</v>
      </c>
      <c r="G8" s="118">
        <f>+D8/B8</f>
        <v>8.4102563973235941E-2</v>
      </c>
    </row>
    <row r="9" spans="1:12" ht="57">
      <c r="A9" s="102" t="s">
        <v>205</v>
      </c>
      <c r="B9" s="113">
        <f>GETPIVOTDATA("Suma de APR. VIGENTE",CRIS!$A$3,"CM - A","C11")</f>
        <v>24806150451</v>
      </c>
      <c r="C9" s="113">
        <f>GETPIVOTDATA("Suma de COMPROMISO",CRIS!$A$3,"CM - A","C11")</f>
        <v>7722913426.1499996</v>
      </c>
      <c r="D9" s="113">
        <f>GETPIVOTDATA("Suma de OBLIGACION",CRIS!$A$3,"CM - A","C11")</f>
        <v>2324289780.54</v>
      </c>
      <c r="E9" s="113">
        <f>+B9-C9</f>
        <v>17083237024.85</v>
      </c>
      <c r="F9" s="115">
        <f>+C9/B9</f>
        <v>0.31133058881526976</v>
      </c>
      <c r="G9" s="119">
        <f>+D9/B9</f>
        <v>9.3698124790914578E-2</v>
      </c>
    </row>
    <row r="10" spans="1:12" ht="57.75" thickBot="1">
      <c r="A10" s="102" t="s">
        <v>204</v>
      </c>
      <c r="B10" s="113">
        <f>GETPIVOTDATA("Suma de APR. VIGENTE",CRIS!$A$3,"CM - A","C12")</f>
        <v>3035962836</v>
      </c>
      <c r="C10" s="113">
        <f>GETPIVOTDATA("Suma de COMPROMISO",CRIS!$A$3,"CM - A","C12")</f>
        <v>70736666.659999996</v>
      </c>
      <c r="D10" s="113">
        <f>GETPIVOTDATA("Suma de OBLIGACION",CRIS!$A$3,"CM - A","C12")</f>
        <v>17303333.329999998</v>
      </c>
      <c r="E10" s="113">
        <f>+B10-C10</f>
        <v>2965226169.3400002</v>
      </c>
      <c r="F10" s="115">
        <f>+C10/B10</f>
        <v>2.3299582531516864E-2</v>
      </c>
      <c r="G10" s="119">
        <f>+D10/B10</f>
        <v>5.6994549224449065E-3</v>
      </c>
    </row>
    <row r="11" spans="1:12" ht="37.5" customHeight="1" thickBot="1">
      <c r="A11" s="103" t="s">
        <v>120</v>
      </c>
      <c r="B11" s="111">
        <f>+B6+B8</f>
        <v>32309457632</v>
      </c>
      <c r="C11" s="111">
        <f>+C6+C8</f>
        <v>12082931389.82</v>
      </c>
      <c r="D11" s="111">
        <f>+D6+D8</f>
        <v>3922968335.6599998</v>
      </c>
      <c r="E11" s="111">
        <f>+E6+E8</f>
        <v>20226526242.18</v>
      </c>
      <c r="F11" s="117">
        <f>+C11/B11</f>
        <v>0.37397506103144229</v>
      </c>
      <c r="G11" s="118">
        <f>+D11/B11</f>
        <v>0.12141857595822363</v>
      </c>
    </row>
    <row r="12" spans="1:12" ht="24">
      <c r="A12" s="132" t="s">
        <v>121</v>
      </c>
      <c r="B12" s="133"/>
      <c r="C12" s="133"/>
      <c r="D12" s="133"/>
      <c r="E12" s="133"/>
      <c r="F12" s="133"/>
      <c r="G12" s="133"/>
    </row>
    <row r="13" spans="1:12" ht="31.5">
      <c r="A13" s="95" t="s">
        <v>122</v>
      </c>
      <c r="B13" s="96" t="s">
        <v>108</v>
      </c>
      <c r="C13" s="96" t="s">
        <v>109</v>
      </c>
      <c r="D13" s="96" t="s">
        <v>110</v>
      </c>
      <c r="E13" s="96" t="s">
        <v>111</v>
      </c>
      <c r="F13" s="97" t="s">
        <v>112</v>
      </c>
      <c r="G13" s="98" t="s">
        <v>113</v>
      </c>
    </row>
    <row r="14" spans="1:12" ht="15.75">
      <c r="A14" s="95"/>
      <c r="B14" s="96">
        <v>-1</v>
      </c>
      <c r="C14" s="96">
        <v>-2</v>
      </c>
      <c r="D14" s="96">
        <v>-3</v>
      </c>
      <c r="E14" s="96" t="s">
        <v>114</v>
      </c>
      <c r="F14" s="97" t="s">
        <v>115</v>
      </c>
      <c r="G14" s="98" t="s">
        <v>116</v>
      </c>
    </row>
    <row r="15" spans="1:12" ht="24">
      <c r="A15" s="104" t="s">
        <v>123</v>
      </c>
      <c r="B15" s="120">
        <f>SUM(B16:B20)</f>
        <v>167459097000</v>
      </c>
      <c r="C15" s="120">
        <f>SUM(C16:C20)</f>
        <v>82960338887.990005</v>
      </c>
      <c r="D15" s="120">
        <f>SUM(D16:D20)</f>
        <v>72002500319.659988</v>
      </c>
      <c r="E15" s="120">
        <f>SUM(E16:E20)</f>
        <v>84498758112.009995</v>
      </c>
      <c r="F15" s="121">
        <f t="shared" ref="F15:F21" si="1">+C15/B15</f>
        <v>0.49540658210995853</v>
      </c>
      <c r="G15" s="122">
        <f t="shared" ref="G15:G21" si="2">+D15/B15</f>
        <v>0.42997067110459808</v>
      </c>
    </row>
    <row r="16" spans="1:12" ht="23.25">
      <c r="A16" s="105" t="s">
        <v>124</v>
      </c>
      <c r="B16" s="123">
        <f>GETPIVOTDATA("Suma de APR. VIGENTE",CRIS!$A$3,"CM - A","A01")</f>
        <v>120100224000</v>
      </c>
      <c r="C16" s="123">
        <f>GETPIVOTDATA("Suma de COMPROMISO",CRIS!$A$3,"CM - A","A01")</f>
        <v>52896884870</v>
      </c>
      <c r="D16" s="123">
        <f>GETPIVOTDATA("Suma de OBLIGACION",CRIS!$A$3,"CM - A","A01")</f>
        <v>52640722878.57</v>
      </c>
      <c r="E16" s="113">
        <f>+B16-C16</f>
        <v>67203339130</v>
      </c>
      <c r="F16" s="115">
        <f t="shared" si="1"/>
        <v>0.44043951883053939</v>
      </c>
      <c r="G16" s="119">
        <f t="shared" si="2"/>
        <v>0.43830661696825812</v>
      </c>
    </row>
    <row r="17" spans="1:7" ht="23.25">
      <c r="A17" s="105" t="s">
        <v>125</v>
      </c>
      <c r="B17" s="123">
        <f>GETPIVOTDATA("Suma de APR. VIGENTE",CRIS!$A$3,"CM - A","A02")</f>
        <v>17932167000</v>
      </c>
      <c r="C17" s="123">
        <f>GETPIVOTDATA("Suma de COMPROMISO",CRIS!$A$3,"CM - A","A02")</f>
        <v>14590065552.790001</v>
      </c>
      <c r="D17" s="123">
        <f>GETPIVOTDATA("Suma de OBLIGACION",CRIS!$A$3,"CM - A","A02")</f>
        <v>6772801978.3900003</v>
      </c>
      <c r="E17" s="113">
        <f>+B17-C17</f>
        <v>3342101447.2099991</v>
      </c>
      <c r="F17" s="115">
        <f t="shared" si="1"/>
        <v>0.81362534448792501</v>
      </c>
      <c r="G17" s="119">
        <f t="shared" si="2"/>
        <v>0.37769010172557504</v>
      </c>
    </row>
    <row r="18" spans="1:7" ht="23.25">
      <c r="A18" s="105" t="s">
        <v>126</v>
      </c>
      <c r="B18" s="123">
        <f>GETPIVOTDATA("Suma de APR. VIGENTE",CRIS!$A$3,"CM - A","A03")</f>
        <v>25368816000</v>
      </c>
      <c r="C18" s="123">
        <f>GETPIVOTDATA("Suma de COMPROMISO",CRIS!$A$3,"CM - A","A03")</f>
        <v>12070423951.199999</v>
      </c>
      <c r="D18" s="123">
        <f>GETPIVOTDATA("Suma de OBLIGACION",CRIS!$A$3,"CM - A","A03")</f>
        <v>11979805385.08</v>
      </c>
      <c r="E18" s="113">
        <f>+B18-C18</f>
        <v>13298392048.800001</v>
      </c>
      <c r="F18" s="115">
        <f t="shared" si="1"/>
        <v>0.47579768607253875</v>
      </c>
      <c r="G18" s="119">
        <f t="shared" si="2"/>
        <v>0.47222564052969596</v>
      </c>
    </row>
    <row r="19" spans="1:7" ht="23.25">
      <c r="A19" s="105" t="s">
        <v>127</v>
      </c>
      <c r="B19" s="123">
        <f>GETPIVOTDATA("Suma de APR. VIGENTE",CRIS!$A$3,"CM - A","A06")</f>
        <v>3388600000</v>
      </c>
      <c r="C19" s="123">
        <f>GETPIVOTDATA("Suma de COMPROMISO",CRIS!$A$3,"CM - A","A06")</f>
        <v>3171537602</v>
      </c>
      <c r="D19" s="123">
        <f>GETPIVOTDATA("Suma de OBLIGACION",CRIS!$A$3,"CM - A","A06")</f>
        <v>377804201.62</v>
      </c>
      <c r="E19" s="113">
        <f>+B19-C19</f>
        <v>217062398</v>
      </c>
      <c r="F19" s="115">
        <f t="shared" si="1"/>
        <v>0.93594334002242818</v>
      </c>
      <c r="G19" s="119">
        <f t="shared" si="2"/>
        <v>0.11149271133211355</v>
      </c>
    </row>
    <row r="20" spans="1:7" ht="24" thickBot="1">
      <c r="A20" s="105" t="s">
        <v>128</v>
      </c>
      <c r="B20" s="123">
        <f>GETPIVOTDATA("Suma de APR. VIGENTE",CRIS!$A$3,"CM - A","A08")</f>
        <v>669290000</v>
      </c>
      <c r="C20" s="123">
        <f>GETPIVOTDATA("Suma de COMPROMISO",CRIS!$A$3,"CM - A","A08")</f>
        <v>231426912</v>
      </c>
      <c r="D20" s="123">
        <f>GETPIVOTDATA("Suma de OBLIGACION",CRIS!$A$3,"CM - A","A08")</f>
        <v>231365876</v>
      </c>
      <c r="E20" s="113">
        <f>+B20-C20</f>
        <v>437863088</v>
      </c>
      <c r="F20" s="115">
        <f t="shared" si="1"/>
        <v>0.34577972478297897</v>
      </c>
      <c r="G20" s="119">
        <f t="shared" si="2"/>
        <v>0.34568852963588281</v>
      </c>
    </row>
    <row r="21" spans="1:7" ht="21" thickBot="1">
      <c r="A21" s="106" t="s">
        <v>129</v>
      </c>
      <c r="B21" s="124">
        <f>SUM(B16:B20)</f>
        <v>167459097000</v>
      </c>
      <c r="C21" s="124">
        <f>SUM(C16:C20)</f>
        <v>82960338887.990005</v>
      </c>
      <c r="D21" s="124">
        <f>SUM(D16:D20)</f>
        <v>72002500319.659988</v>
      </c>
      <c r="E21" s="124">
        <f>SUM(E16:E20)</f>
        <v>84498758112.009995</v>
      </c>
      <c r="F21" s="125">
        <f t="shared" si="1"/>
        <v>0.49540658210995853</v>
      </c>
      <c r="G21" s="125">
        <f t="shared" si="2"/>
        <v>0.42997067110459808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130</v>
      </c>
      <c r="B23" s="124">
        <f>+B21+B11</f>
        <v>199768554632</v>
      </c>
      <c r="C23" s="124">
        <f>+C21+C11</f>
        <v>95043270277.809998</v>
      </c>
      <c r="D23" s="124">
        <f>+D21+D11</f>
        <v>75925468655.319992</v>
      </c>
      <c r="E23" s="124">
        <f>+E21+E11</f>
        <v>104725284354.19</v>
      </c>
      <c r="F23" s="125">
        <f>+C23/B23</f>
        <v>0.47576692164035639</v>
      </c>
      <c r="G23" s="125">
        <f>+D23/B23</f>
        <v>0.3800671672034906</v>
      </c>
    </row>
    <row r="30" spans="1:7">
      <c r="F30" s="109"/>
    </row>
    <row r="31" spans="1:7">
      <c r="F31" s="11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91" t="s">
        <v>158</v>
      </c>
      <c r="B3" s="23" t="s">
        <v>149</v>
      </c>
      <c r="C3" s="23" t="s">
        <v>150</v>
      </c>
      <c r="D3" s="23" t="s">
        <v>151</v>
      </c>
      <c r="G3" s="129">
        <f ca="1">TODAY()</f>
        <v>45475</v>
      </c>
      <c r="H3" s="83" t="str">
        <f ca="1">TEXT(G3,"MMMM")</f>
        <v>julio</v>
      </c>
      <c r="I3" s="129"/>
    </row>
    <row r="4" spans="1:9">
      <c r="A4" s="92"/>
      <c r="B4" s="93"/>
      <c r="C4" s="93"/>
      <c r="D4" s="93"/>
      <c r="G4" s="83" t="s">
        <v>209</v>
      </c>
      <c r="H4" s="83"/>
      <c r="I4" s="83"/>
    </row>
    <row r="5" spans="1:9">
      <c r="A5" s="92" t="s">
        <v>137</v>
      </c>
      <c r="B5" s="93">
        <v>120100224000</v>
      </c>
      <c r="C5" s="93">
        <v>52896884870</v>
      </c>
      <c r="D5" s="93">
        <v>52640722878.57</v>
      </c>
      <c r="G5" s="83" t="s">
        <v>210</v>
      </c>
      <c r="H5" s="83"/>
      <c r="I5" s="83"/>
    </row>
    <row r="6" spans="1:9">
      <c r="A6" s="92" t="s">
        <v>138</v>
      </c>
      <c r="B6" s="93">
        <v>17932167000</v>
      </c>
      <c r="C6" s="93">
        <v>14590065552.790001</v>
      </c>
      <c r="D6" s="93">
        <v>6772801978.3900003</v>
      </c>
      <c r="G6" s="83" t="str">
        <f ca="1">CONCATENATE(G4," ",H3," ",G5)</f>
        <v xml:space="preserve">EJECUCIÓN PRESUPUESTAL  julio 2024 ( Millones) </v>
      </c>
      <c r="H6" s="83"/>
      <c r="I6" s="83"/>
    </row>
    <row r="7" spans="1:9">
      <c r="A7" s="92" t="s">
        <v>139</v>
      </c>
      <c r="B7" s="93">
        <v>25368816000</v>
      </c>
      <c r="C7" s="93">
        <v>12070423951.199999</v>
      </c>
      <c r="D7" s="93">
        <v>11979805385.08</v>
      </c>
    </row>
    <row r="8" spans="1:9">
      <c r="A8" s="92" t="s">
        <v>140</v>
      </c>
      <c r="B8" s="93">
        <v>3388600000</v>
      </c>
      <c r="C8" s="93">
        <v>3171537602</v>
      </c>
      <c r="D8" s="93">
        <v>377804201.62</v>
      </c>
    </row>
    <row r="9" spans="1:9">
      <c r="A9" s="92" t="s">
        <v>143</v>
      </c>
      <c r="B9" s="93">
        <v>669290000</v>
      </c>
      <c r="C9" s="93">
        <v>231426912</v>
      </c>
      <c r="D9" s="93">
        <v>231365876</v>
      </c>
    </row>
    <row r="10" spans="1:9" ht="15.75">
      <c r="A10" s="92" t="s">
        <v>155</v>
      </c>
      <c r="B10" s="93">
        <v>24806150451</v>
      </c>
      <c r="C10" s="93">
        <v>7722913426.1499996</v>
      </c>
      <c r="D10" s="93">
        <v>2324289780.54</v>
      </c>
      <c r="G10" s="14"/>
    </row>
    <row r="11" spans="1:9">
      <c r="A11" s="92" t="s">
        <v>156</v>
      </c>
      <c r="B11" s="93">
        <v>3035962836</v>
      </c>
      <c r="C11" s="93">
        <v>70736666.659999996</v>
      </c>
      <c r="D11" s="93">
        <v>17303333.329999998</v>
      </c>
    </row>
    <row r="12" spans="1:9">
      <c r="A12" s="92" t="s">
        <v>154</v>
      </c>
      <c r="B12" s="93">
        <v>4467344345</v>
      </c>
      <c r="C12" s="93">
        <v>4289281297.0100002</v>
      </c>
      <c r="D12" s="93">
        <v>1581375221.79</v>
      </c>
    </row>
    <row r="13" spans="1:9">
      <c r="A13" s="92" t="s">
        <v>148</v>
      </c>
      <c r="B13" s="93">
        <v>199768554632</v>
      </c>
      <c r="C13" s="93">
        <v>95043270277.809998</v>
      </c>
      <c r="D13" s="93">
        <v>75925468655.319977</v>
      </c>
    </row>
    <row r="14" spans="1:9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topLeftCell="C1" zoomScale="80" zoomScaleNormal="80" workbookViewId="0">
      <pane ySplit="1" topLeftCell="A2" activePane="bottomLeft" state="frozen"/>
      <selection activeCell="B1" sqref="B1"/>
      <selection pane="bottomLeft" activeCell="B2" sqref="B2:AB26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0.44140625" style="24" customWidth="1"/>
    <col min="20" max="20" width="9.6640625" style="24" customWidth="1"/>
    <col min="21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8" width="13.6640625" style="23" customWidth="1"/>
    <col min="29" max="31" width="13.6640625" style="23" hidden="1" customWidth="1"/>
    <col min="32" max="32" width="6.77734375" hidden="1" customWidth="1"/>
    <col min="33" max="33" width="11.5546875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161</v>
      </c>
      <c r="AD1" s="25" t="s">
        <v>160</v>
      </c>
      <c r="AE1" s="25" t="s">
        <v>159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8343068291</v>
      </c>
      <c r="T2" s="20">
        <v>0</v>
      </c>
      <c r="U2" s="21">
        <v>72273003291</v>
      </c>
      <c r="V2" s="20">
        <v>0</v>
      </c>
      <c r="W2" s="20">
        <v>63929935000</v>
      </c>
      <c r="X2" s="20">
        <v>8343068291</v>
      </c>
      <c r="Y2" s="20">
        <v>32516926241</v>
      </c>
      <c r="Z2" s="20">
        <v>32346612352.57</v>
      </c>
      <c r="AA2" s="22">
        <v>32346612352.57</v>
      </c>
      <c r="AB2" s="22">
        <v>32346612352.57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2505369519</v>
      </c>
      <c r="T3" s="20">
        <v>0</v>
      </c>
      <c r="U3" s="21">
        <v>26998740519</v>
      </c>
      <c r="V3" s="20">
        <v>0</v>
      </c>
      <c r="W3" s="20">
        <v>24493371000</v>
      </c>
      <c r="X3" s="20">
        <v>2505369519</v>
      </c>
      <c r="Y3" s="20">
        <v>10493612468</v>
      </c>
      <c r="Z3" s="20">
        <v>10493612468</v>
      </c>
      <c r="AA3" s="22">
        <v>10493612468</v>
      </c>
      <c r="AB3" s="22">
        <v>10493612468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410385190</v>
      </c>
      <c r="T4" s="20">
        <v>0</v>
      </c>
      <c r="U4" s="21">
        <v>20424619190</v>
      </c>
      <c r="V4" s="20">
        <v>0</v>
      </c>
      <c r="W4" s="20">
        <v>20014234000</v>
      </c>
      <c r="X4" s="20">
        <v>410385190</v>
      </c>
      <c r="Y4" s="20">
        <v>9837556277</v>
      </c>
      <c r="Z4" s="20">
        <v>9751708174</v>
      </c>
      <c r="AA4" s="22">
        <v>9751708174</v>
      </c>
      <c r="AB4" s="22">
        <v>9751708174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11258823000</v>
      </c>
      <c r="U5" s="21">
        <v>122543000</v>
      </c>
      <c r="V5" s="20">
        <v>122543000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33439323</v>
      </c>
      <c r="Z6" s="20">
        <v>33439323</v>
      </c>
      <c r="AA6" s="22">
        <v>33439323</v>
      </c>
      <c r="AB6" s="22">
        <v>33439323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7640564</v>
      </c>
      <c r="Z7" s="20">
        <v>7640564</v>
      </c>
      <c r="AA7" s="22">
        <v>7640564</v>
      </c>
      <c r="AB7" s="22">
        <v>7640564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7709997</v>
      </c>
      <c r="Z8" s="20">
        <v>7709997</v>
      </c>
      <c r="AA8" s="22">
        <v>7709997</v>
      </c>
      <c r="AB8" s="22">
        <v>7709997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2000000000</v>
      </c>
      <c r="T9" s="20">
        <v>0</v>
      </c>
      <c r="U9" s="20">
        <v>17932167000</v>
      </c>
      <c r="V9" s="20">
        <v>0</v>
      </c>
      <c r="W9" s="20">
        <v>17469940664.799999</v>
      </c>
      <c r="X9" s="20">
        <v>462226335.19999999</v>
      </c>
      <c r="Y9" s="20">
        <v>14590065552.790001</v>
      </c>
      <c r="Z9" s="20">
        <v>6772801978.3900003</v>
      </c>
      <c r="AA9" s="22">
        <v>6749676273.8699999</v>
      </c>
      <c r="AB9" s="22">
        <v>6749676273.8699999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201</v>
      </c>
      <c r="J10" s="18"/>
      <c r="K10" s="18"/>
      <c r="L10" s="18"/>
      <c r="M10" s="18"/>
      <c r="N10" s="18" t="s">
        <v>202</v>
      </c>
      <c r="O10" s="18" t="s">
        <v>78</v>
      </c>
      <c r="P10" s="18" t="s">
        <v>40</v>
      </c>
      <c r="Q10" s="19" t="s">
        <v>203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700000000</v>
      </c>
      <c r="W10" s="20">
        <v>559000000</v>
      </c>
      <c r="X10" s="20">
        <v>0</v>
      </c>
      <c r="Y10" s="20">
        <v>160462691.80000001</v>
      </c>
      <c r="Z10" s="20">
        <v>123334691.8</v>
      </c>
      <c r="AA10" s="22">
        <v>123334691.8</v>
      </c>
      <c r="AB10" s="22">
        <v>123334691.8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2000000000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38582225.149999999</v>
      </c>
      <c r="X12" s="20">
        <v>384517774.85000002</v>
      </c>
      <c r="Y12" s="20">
        <v>38582225.149999999</v>
      </c>
      <c r="Z12" s="20">
        <v>38582225.149999999</v>
      </c>
      <c r="AA12" s="22">
        <v>36624244.420000002</v>
      </c>
      <c r="AB12" s="22">
        <v>36624244.420000002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3000000</v>
      </c>
      <c r="U13" s="20">
        <v>467922000</v>
      </c>
      <c r="V13" s="20">
        <v>0</v>
      </c>
      <c r="W13" s="20">
        <v>0</v>
      </c>
      <c r="X13" s="20">
        <v>467922000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255546632</v>
      </c>
      <c r="Z14" s="20">
        <v>255010212</v>
      </c>
      <c r="AA14" s="22">
        <v>255010212</v>
      </c>
      <c r="AB14" s="22">
        <v>255010212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0</v>
      </c>
      <c r="T15" s="20">
        <v>0</v>
      </c>
      <c r="U15" s="20">
        <v>22331000</v>
      </c>
      <c r="V15" s="20">
        <v>0</v>
      </c>
      <c r="W15" s="20">
        <v>22331000</v>
      </c>
      <c r="X15" s="20">
        <v>0</v>
      </c>
      <c r="Y15" s="20">
        <v>19500000</v>
      </c>
      <c r="Z15" s="20">
        <v>19500000</v>
      </c>
      <c r="AA15" s="22">
        <v>19500000</v>
      </c>
      <c r="AB15" s="22">
        <v>19500000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0</v>
      </c>
      <c r="U16" s="20">
        <v>3044177000</v>
      </c>
      <c r="V16" s="20">
        <v>0</v>
      </c>
      <c r="W16" s="20">
        <v>1163659985</v>
      </c>
      <c r="X16" s="20">
        <v>1880517015</v>
      </c>
      <c r="Y16" s="20">
        <v>1163659985</v>
      </c>
      <c r="Z16" s="20">
        <v>1163659985</v>
      </c>
      <c r="AA16" s="22">
        <v>1163659985</v>
      </c>
      <c r="AB16" s="22">
        <v>1163659985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6695520986.1499996</v>
      </c>
      <c r="X17" s="20">
        <v>6954479013.8500004</v>
      </c>
      <c r="Y17" s="20">
        <v>6695520986.1499996</v>
      </c>
      <c r="Z17" s="20">
        <v>6694766840.0299997</v>
      </c>
      <c r="AA17" s="22">
        <v>6694766840.0299997</v>
      </c>
      <c r="AB17" s="22">
        <v>6694766840.0299997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1659246063</v>
      </c>
      <c r="X18" s="20">
        <v>1340753937</v>
      </c>
      <c r="Y18" s="20">
        <v>1410330711.0999999</v>
      </c>
      <c r="Z18" s="20">
        <v>1410330711.0999999</v>
      </c>
      <c r="AA18" s="22">
        <v>1410330711.0999999</v>
      </c>
      <c r="AB18" s="22">
        <v>1410330711.0999999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0</v>
      </c>
      <c r="T19" s="20">
        <v>0</v>
      </c>
      <c r="U19" s="20">
        <v>3171900000</v>
      </c>
      <c r="V19" s="20">
        <v>0</v>
      </c>
      <c r="W19" s="20">
        <v>3171900000</v>
      </c>
      <c r="X19" s="20">
        <v>0</v>
      </c>
      <c r="Y19" s="20">
        <v>2326820720</v>
      </c>
      <c r="Z19" s="20">
        <v>2274620720</v>
      </c>
      <c r="AA19" s="22">
        <v>2251420720</v>
      </c>
      <c r="AB19" s="22">
        <v>2251420720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3171537602</v>
      </c>
      <c r="Z20" s="20">
        <v>377804201.62</v>
      </c>
      <c r="AA20" s="22">
        <v>377804201.62</v>
      </c>
      <c r="AB20" s="22">
        <v>377804201.62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0</v>
      </c>
      <c r="T21" s="20">
        <v>0</v>
      </c>
      <c r="U21" s="20">
        <v>238090000</v>
      </c>
      <c r="V21" s="20">
        <v>0</v>
      </c>
      <c r="W21" s="20">
        <v>230466812</v>
      </c>
      <c r="X21" s="20">
        <v>7623188</v>
      </c>
      <c r="Y21" s="20">
        <v>230466812</v>
      </c>
      <c r="Z21" s="20">
        <v>230405776</v>
      </c>
      <c r="AA21" s="22">
        <v>230405776</v>
      </c>
      <c r="AB21" s="22">
        <v>230405776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206</v>
      </c>
      <c r="E23" s="18" t="s">
        <v>36</v>
      </c>
      <c r="F23" s="18" t="s">
        <v>90</v>
      </c>
      <c r="G23" s="16" t="s">
        <v>207</v>
      </c>
      <c r="H23" s="16"/>
      <c r="I23" s="18"/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208</v>
      </c>
      <c r="R23" s="20">
        <v>0</v>
      </c>
      <c r="S23" s="20">
        <v>3000000</v>
      </c>
      <c r="T23" s="20">
        <v>0</v>
      </c>
      <c r="U23" s="20">
        <v>3000000</v>
      </c>
      <c r="V23" s="20">
        <v>0</v>
      </c>
      <c r="W23" s="20">
        <v>1000000</v>
      </c>
      <c r="X23" s="20">
        <v>2000000</v>
      </c>
      <c r="Y23" s="20">
        <v>960100</v>
      </c>
      <c r="Z23" s="20">
        <v>960100</v>
      </c>
      <c r="AA23" s="22">
        <v>960100</v>
      </c>
      <c r="AB23" s="22">
        <v>960100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12.5">
      <c r="A24" s="15" t="s">
        <v>145</v>
      </c>
      <c r="B24" s="16" t="s">
        <v>33</v>
      </c>
      <c r="C24" s="15" t="s">
        <v>34</v>
      </c>
      <c r="D24" s="17" t="s">
        <v>94</v>
      </c>
      <c r="E24" s="18" t="s">
        <v>95</v>
      </c>
      <c r="F24" s="18" t="s">
        <v>96</v>
      </c>
      <c r="G24" s="16" t="s">
        <v>97</v>
      </c>
      <c r="H24" s="16" t="s">
        <v>98</v>
      </c>
      <c r="I24" s="18" t="s">
        <v>99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100</v>
      </c>
      <c r="R24" s="20">
        <v>4467344345</v>
      </c>
      <c r="S24" s="20">
        <v>0</v>
      </c>
      <c r="T24" s="20">
        <v>0</v>
      </c>
      <c r="U24" s="20">
        <v>4467344345</v>
      </c>
      <c r="V24" s="20">
        <v>0</v>
      </c>
      <c r="W24" s="20">
        <v>4295541014.0100002</v>
      </c>
      <c r="X24" s="20">
        <v>171803330.99000001</v>
      </c>
      <c r="Y24" s="20">
        <v>4289281297.0100002</v>
      </c>
      <c r="Z24" s="20">
        <v>1581375221.79</v>
      </c>
      <c r="AA24" s="22">
        <v>1572138257.79</v>
      </c>
      <c r="AB24" s="22">
        <v>1572138257.79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78.75">
      <c r="A25" s="15" t="s">
        <v>146</v>
      </c>
      <c r="B25" s="89" t="s">
        <v>33</v>
      </c>
      <c r="C25" s="27" t="s">
        <v>34</v>
      </c>
      <c r="D25" s="28" t="s">
        <v>101</v>
      </c>
      <c r="E25" s="26" t="s">
        <v>95</v>
      </c>
      <c r="F25" s="26" t="s">
        <v>102</v>
      </c>
      <c r="G25" s="26" t="s">
        <v>97</v>
      </c>
      <c r="H25" s="26" t="s">
        <v>81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24806150451</v>
      </c>
      <c r="S25" s="29">
        <v>0</v>
      </c>
      <c r="T25" s="29">
        <v>0</v>
      </c>
      <c r="U25" s="29">
        <v>24806150451</v>
      </c>
      <c r="V25" s="29">
        <v>0</v>
      </c>
      <c r="W25" s="29">
        <v>8921409713.7600002</v>
      </c>
      <c r="X25" s="29">
        <v>15884740737.24</v>
      </c>
      <c r="Y25" s="29">
        <v>7722913426.1499996</v>
      </c>
      <c r="Z25" s="29">
        <v>2324289780.54</v>
      </c>
      <c r="AA25" s="29">
        <v>2276909780.54</v>
      </c>
      <c r="AB25" s="29">
        <v>2276909780.54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78.75">
      <c r="A26" s="15" t="s">
        <v>146</v>
      </c>
      <c r="B26" s="26" t="s">
        <v>33</v>
      </c>
      <c r="C26" s="27" t="s">
        <v>34</v>
      </c>
      <c r="D26" s="28" t="s">
        <v>105</v>
      </c>
      <c r="E26" s="26" t="s">
        <v>95</v>
      </c>
      <c r="F26" s="26" t="s">
        <v>102</v>
      </c>
      <c r="G26" s="26" t="s">
        <v>97</v>
      </c>
      <c r="H26" s="26" t="s">
        <v>106</v>
      </c>
      <c r="I26" s="26" t="s">
        <v>103</v>
      </c>
      <c r="J26" s="26"/>
      <c r="K26" s="26"/>
      <c r="L26" s="26"/>
      <c r="M26" s="26"/>
      <c r="N26" s="26" t="s">
        <v>38</v>
      </c>
      <c r="O26" s="26" t="s">
        <v>39</v>
      </c>
      <c r="P26" s="26" t="s">
        <v>40</v>
      </c>
      <c r="Q26" s="27" t="s">
        <v>104</v>
      </c>
      <c r="R26" s="29">
        <v>3035962836</v>
      </c>
      <c r="S26" s="29">
        <v>0</v>
      </c>
      <c r="T26" s="29">
        <v>0</v>
      </c>
      <c r="U26" s="29">
        <v>3035962836</v>
      </c>
      <c r="V26" s="29">
        <v>0</v>
      </c>
      <c r="W26" s="29">
        <v>2495736666.6599998</v>
      </c>
      <c r="X26" s="29">
        <v>540226169.34000003</v>
      </c>
      <c r="Y26" s="29">
        <v>70736666.659999996</v>
      </c>
      <c r="Z26" s="29">
        <v>17303333.329999998</v>
      </c>
      <c r="AA26" s="29">
        <v>17303333.329999998</v>
      </c>
      <c r="AB26" s="29">
        <v>17303333.329999998</v>
      </c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6" t="s">
        <v>169</v>
      </c>
      <c r="B2" s="136"/>
      <c r="C2" s="136"/>
      <c r="D2" s="136"/>
      <c r="E2" s="136"/>
      <c r="F2" s="136"/>
      <c r="G2" s="136"/>
      <c r="H2" s="136"/>
      <c r="I2" s="136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188</v>
      </c>
      <c r="K3" s="84" t="s">
        <v>158</v>
      </c>
      <c r="L3" t="s">
        <v>149</v>
      </c>
      <c r="P3" t="s">
        <v>109</v>
      </c>
      <c r="Q3" t="s">
        <v>190</v>
      </c>
    </row>
    <row r="4" spans="1:18">
      <c r="A4" s="86" t="s">
        <v>145</v>
      </c>
      <c r="B4" s="85">
        <v>82960338887.990005</v>
      </c>
      <c r="C4" t="s">
        <v>145</v>
      </c>
      <c r="D4" s="13">
        <f t="shared" ref="D4:D15" si="0">B4</f>
        <v>82960338887.990005</v>
      </c>
      <c r="F4" s="86" t="s">
        <v>145</v>
      </c>
      <c r="G4" s="85">
        <v>72002500319.660004</v>
      </c>
      <c r="H4" t="s">
        <v>145</v>
      </c>
      <c r="I4" s="13">
        <f t="shared" ref="I4:I15" si="1">G4</f>
        <v>72002500319.660004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0.49540658210995853</v>
      </c>
      <c r="Q4" s="78">
        <f t="shared" ref="Q4:Q15" si="5">+I4/N4</f>
        <v>0.42997067110459819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162</v>
      </c>
      <c r="B9" s="85"/>
      <c r="C9" t="s">
        <v>162</v>
      </c>
      <c r="D9" s="13">
        <f t="shared" si="0"/>
        <v>0</v>
      </c>
      <c r="F9" s="86" t="s">
        <v>162</v>
      </c>
      <c r="G9" s="85"/>
      <c r="H9" t="s">
        <v>162</v>
      </c>
      <c r="I9" s="13">
        <f t="shared" si="1"/>
        <v>0</v>
      </c>
      <c r="J9" s="13"/>
      <c r="K9" s="86" t="s">
        <v>162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163</v>
      </c>
      <c r="B10" s="85"/>
      <c r="C10" t="s">
        <v>163</v>
      </c>
      <c r="D10" s="13">
        <f t="shared" si="0"/>
        <v>0</v>
      </c>
      <c r="F10" s="86" t="s">
        <v>163</v>
      </c>
      <c r="G10" s="85"/>
      <c r="H10" t="s">
        <v>163</v>
      </c>
      <c r="I10" s="13">
        <f t="shared" si="1"/>
        <v>0</v>
      </c>
      <c r="J10" s="13"/>
      <c r="K10" s="86" t="s">
        <v>163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164</v>
      </c>
      <c r="B11" s="85"/>
      <c r="C11" t="s">
        <v>164</v>
      </c>
      <c r="D11" s="13">
        <f t="shared" si="0"/>
        <v>0</v>
      </c>
      <c r="F11" s="86" t="s">
        <v>164</v>
      </c>
      <c r="G11" s="85"/>
      <c r="H11" t="s">
        <v>164</v>
      </c>
      <c r="I11" s="13">
        <f t="shared" si="1"/>
        <v>0</v>
      </c>
      <c r="J11" s="13"/>
      <c r="K11" s="86" t="s">
        <v>164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165</v>
      </c>
      <c r="B12" s="85"/>
      <c r="C12" t="s">
        <v>165</v>
      </c>
      <c r="D12" s="13">
        <f t="shared" si="0"/>
        <v>0</v>
      </c>
      <c r="F12" s="86" t="s">
        <v>165</v>
      </c>
      <c r="G12" s="85"/>
      <c r="H12" t="s">
        <v>165</v>
      </c>
      <c r="I12" s="13">
        <f t="shared" si="1"/>
        <v>0</v>
      </c>
      <c r="J12" s="13"/>
      <c r="K12" s="86" t="s">
        <v>165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166</v>
      </c>
      <c r="B13" s="85"/>
      <c r="C13" t="s">
        <v>166</v>
      </c>
      <c r="D13" s="13">
        <f t="shared" si="0"/>
        <v>0</v>
      </c>
      <c r="F13" s="86" t="s">
        <v>166</v>
      </c>
      <c r="G13" s="85"/>
      <c r="H13" t="s">
        <v>166</v>
      </c>
      <c r="I13" s="13">
        <f t="shared" si="1"/>
        <v>0</v>
      </c>
      <c r="J13" s="13"/>
      <c r="K13" s="86" t="s">
        <v>166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167</v>
      </c>
      <c r="B14" s="85"/>
      <c r="C14" t="s">
        <v>167</v>
      </c>
      <c r="D14" s="13">
        <f t="shared" si="0"/>
        <v>0</v>
      </c>
      <c r="F14" s="86" t="s">
        <v>167</v>
      </c>
      <c r="G14" s="85"/>
      <c r="H14" t="s">
        <v>167</v>
      </c>
      <c r="I14" s="13">
        <f t="shared" si="1"/>
        <v>0</v>
      </c>
      <c r="J14" s="13"/>
      <c r="K14" s="86" t="s">
        <v>167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168</v>
      </c>
      <c r="B15" s="85"/>
      <c r="C15" t="s">
        <v>168</v>
      </c>
      <c r="D15" s="13">
        <f t="shared" si="0"/>
        <v>0</v>
      </c>
      <c r="F15" s="86" t="s">
        <v>168</v>
      </c>
      <c r="G15" s="85"/>
      <c r="H15" t="s">
        <v>168</v>
      </c>
      <c r="I15" s="13">
        <f t="shared" si="1"/>
        <v>0</v>
      </c>
      <c r="J15" s="13"/>
      <c r="K15" s="86" t="s">
        <v>168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186</v>
      </c>
      <c r="B16" s="85"/>
      <c r="F16" s="86" t="s">
        <v>186</v>
      </c>
      <c r="G16" s="85"/>
      <c r="K16" s="86" t="s">
        <v>186</v>
      </c>
      <c r="L16" s="85"/>
      <c r="M16" s="13"/>
    </row>
    <row r="17" spans="1:18">
      <c r="A17" s="86" t="s">
        <v>148</v>
      </c>
      <c r="B17" s="87">
        <v>82960338887.990005</v>
      </c>
      <c r="F17" s="86" t="s">
        <v>148</v>
      </c>
      <c r="G17" s="87">
        <v>72002500319.660004</v>
      </c>
      <c r="K17" s="86" t="s">
        <v>148</v>
      </c>
      <c r="L17" s="87">
        <v>167459097000</v>
      </c>
      <c r="M17" s="73"/>
    </row>
    <row r="21" spans="1:18">
      <c r="A21" s="136" t="s">
        <v>189</v>
      </c>
      <c r="B21" s="136"/>
      <c r="C21" s="136"/>
      <c r="D21" s="136"/>
      <c r="E21" s="136"/>
      <c r="F21" s="136"/>
      <c r="G21" s="136"/>
      <c r="H21" s="136"/>
      <c r="I21" s="136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190</v>
      </c>
    </row>
    <row r="23" spans="1:18">
      <c r="A23" s="86" t="s">
        <v>145</v>
      </c>
      <c r="B23" s="85">
        <v>4289281297.0100002</v>
      </c>
      <c r="C23" t="str">
        <f t="shared" ref="C23:C34" si="6">A23</f>
        <v>Enero</v>
      </c>
      <c r="D23" s="13">
        <f t="shared" ref="D23:D34" si="7">B23</f>
        <v>4289281297.0100002</v>
      </c>
      <c r="F23" s="86" t="s">
        <v>145</v>
      </c>
      <c r="G23" s="85">
        <v>1581375221.79</v>
      </c>
      <c r="H23" t="str">
        <f t="shared" ref="H23:H34" si="8">F23</f>
        <v>Enero</v>
      </c>
      <c r="I23" s="13">
        <f t="shared" ref="I23:I34" si="9">G23</f>
        <v>1581375221.79</v>
      </c>
      <c r="K23" s="86" t="s">
        <v>145</v>
      </c>
      <c r="L23" s="85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8">
        <f t="shared" ref="P23:P34" si="12">+D23/N23</f>
        <v>0.96014118585031538</v>
      </c>
      <c r="Q23" s="78">
        <f t="shared" ref="Q23:Q34" si="13">+I23/N23</f>
        <v>0.35398552241891262</v>
      </c>
    </row>
    <row r="24" spans="1:18">
      <c r="A24" s="86" t="s">
        <v>146</v>
      </c>
      <c r="B24" s="85">
        <v>7793650092.8099995</v>
      </c>
      <c r="C24" t="str">
        <f t="shared" si="6"/>
        <v>Febrero</v>
      </c>
      <c r="D24" s="13">
        <f t="shared" si="7"/>
        <v>7793650092.8099995</v>
      </c>
      <c r="F24" s="86" t="s">
        <v>146</v>
      </c>
      <c r="G24" s="85">
        <v>2341593113.8699999</v>
      </c>
      <c r="H24" t="str">
        <f t="shared" si="8"/>
        <v>Febrero</v>
      </c>
      <c r="I24" s="13">
        <f t="shared" si="9"/>
        <v>2341593113.8699999</v>
      </c>
      <c r="K24" s="86" t="s">
        <v>146</v>
      </c>
      <c r="L24" s="85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8">
        <f t="shared" si="12"/>
        <v>0.27992307956195983</v>
      </c>
      <c r="Q24" s="78">
        <f t="shared" si="13"/>
        <v>8.4102563973235941E-2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162</v>
      </c>
      <c r="B28" s="85"/>
      <c r="C28" t="str">
        <f t="shared" si="6"/>
        <v>Junio</v>
      </c>
      <c r="D28" s="13">
        <f t="shared" si="7"/>
        <v>0</v>
      </c>
      <c r="F28" s="86" t="s">
        <v>162</v>
      </c>
      <c r="G28" s="85"/>
      <c r="H28" t="str">
        <f t="shared" si="8"/>
        <v>Junio</v>
      </c>
      <c r="I28" s="13">
        <f t="shared" si="9"/>
        <v>0</v>
      </c>
      <c r="K28" s="86" t="s">
        <v>162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163</v>
      </c>
      <c r="B29" s="85"/>
      <c r="C29" t="str">
        <f t="shared" si="6"/>
        <v>Julio</v>
      </c>
      <c r="D29" s="13">
        <f t="shared" si="7"/>
        <v>0</v>
      </c>
      <c r="F29" s="86" t="s">
        <v>163</v>
      </c>
      <c r="G29" s="85"/>
      <c r="H29" t="str">
        <f t="shared" si="8"/>
        <v>Julio</v>
      </c>
      <c r="I29" s="13">
        <f t="shared" si="9"/>
        <v>0</v>
      </c>
      <c r="K29" s="86" t="s">
        <v>163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164</v>
      </c>
      <c r="B30" s="85"/>
      <c r="C30" t="str">
        <f t="shared" si="6"/>
        <v>Agosto</v>
      </c>
      <c r="D30" s="13">
        <f t="shared" si="7"/>
        <v>0</v>
      </c>
      <c r="F30" s="86" t="s">
        <v>164</v>
      </c>
      <c r="G30" s="85"/>
      <c r="H30" t="str">
        <f t="shared" si="8"/>
        <v>Agosto</v>
      </c>
      <c r="I30" s="13">
        <f t="shared" si="9"/>
        <v>0</v>
      </c>
      <c r="K30" s="86" t="s">
        <v>164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165</v>
      </c>
      <c r="B31" s="85"/>
      <c r="C31" t="str">
        <f t="shared" si="6"/>
        <v>Septiembre</v>
      </c>
      <c r="D31" s="13">
        <f t="shared" si="7"/>
        <v>0</v>
      </c>
      <c r="F31" s="86" t="s">
        <v>165</v>
      </c>
      <c r="G31" s="85"/>
      <c r="H31" t="str">
        <f t="shared" si="8"/>
        <v>Septiembre</v>
      </c>
      <c r="I31" s="13">
        <f t="shared" si="9"/>
        <v>0</v>
      </c>
      <c r="K31" s="86" t="s">
        <v>165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166</v>
      </c>
      <c r="B32" s="85"/>
      <c r="C32" t="str">
        <f t="shared" si="6"/>
        <v>Octubre</v>
      </c>
      <c r="D32" s="13">
        <f t="shared" si="7"/>
        <v>0</v>
      </c>
      <c r="F32" s="86" t="s">
        <v>166</v>
      </c>
      <c r="G32" s="85"/>
      <c r="H32" t="str">
        <f t="shared" si="8"/>
        <v>Octubre</v>
      </c>
      <c r="I32" s="13">
        <f t="shared" si="9"/>
        <v>0</v>
      </c>
      <c r="K32" s="86" t="s">
        <v>166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167</v>
      </c>
      <c r="B33" s="85"/>
      <c r="C33" t="str">
        <f t="shared" si="6"/>
        <v>Noviembre</v>
      </c>
      <c r="D33" s="13">
        <f t="shared" si="7"/>
        <v>0</v>
      </c>
      <c r="F33" s="86" t="s">
        <v>167</v>
      </c>
      <c r="G33" s="85"/>
      <c r="H33" t="str">
        <f t="shared" si="8"/>
        <v>Noviembre</v>
      </c>
      <c r="I33" s="13">
        <f t="shared" si="9"/>
        <v>0</v>
      </c>
      <c r="K33" s="86" t="s">
        <v>167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168</v>
      </c>
      <c r="B34" s="85"/>
      <c r="C34" t="str">
        <f t="shared" si="6"/>
        <v>Diciembre</v>
      </c>
      <c r="D34" s="13">
        <f t="shared" si="7"/>
        <v>0</v>
      </c>
      <c r="F34" s="86" t="s">
        <v>168</v>
      </c>
      <c r="G34" s="85"/>
      <c r="H34" t="str">
        <f t="shared" si="8"/>
        <v>Diciembre</v>
      </c>
      <c r="I34" s="13">
        <f t="shared" si="9"/>
        <v>0</v>
      </c>
      <c r="K34" s="86" t="s">
        <v>168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186</v>
      </c>
      <c r="B35" s="85"/>
      <c r="F35" s="86" t="s">
        <v>186</v>
      </c>
      <c r="G35" s="85"/>
      <c r="K35" s="86" t="s">
        <v>186</v>
      </c>
      <c r="L35" s="85"/>
      <c r="M35" s="13"/>
    </row>
    <row r="36" spans="1:18">
      <c r="A36" s="86" t="s">
        <v>148</v>
      </c>
      <c r="B36" s="87">
        <v>12082931389.82</v>
      </c>
      <c r="F36" s="86" t="s">
        <v>148</v>
      </c>
      <c r="G36" s="87">
        <v>3922968335.6599998</v>
      </c>
      <c r="K36" s="86" t="s">
        <v>148</v>
      </c>
      <c r="L36" s="87">
        <v>32309457632</v>
      </c>
      <c r="M36" s="73"/>
    </row>
    <row r="39" spans="1:18">
      <c r="B39" s="137" t="s">
        <v>182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</row>
    <row r="41" spans="1:18">
      <c r="B41" s="84" t="s">
        <v>144</v>
      </c>
      <c r="C41" s="83" t="s">
        <v>191</v>
      </c>
      <c r="D41" s="83" t="s">
        <v>192</v>
      </c>
      <c r="E41" s="83" t="s">
        <v>193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171926441345</v>
      </c>
      <c r="D42" s="85">
        <v>87249620185</v>
      </c>
      <c r="E42" s="85">
        <v>73583875541.449997</v>
      </c>
      <c r="F42" t="str">
        <f t="shared" ref="F42:F53" si="14">B42</f>
        <v>Enero</v>
      </c>
      <c r="G42" s="78">
        <f>+GETPIVOTDATA("SCOMPROMISO",$B$41,"Mes","Enero")/GETPIVOTDATA(" APR. VIGENTE",$B$41,"Mes","Enero")</f>
        <v>0.5074822668487543</v>
      </c>
      <c r="H42" s="78">
        <f>+GETPIVOTDATA("SOBLIGACION",$B$41,"Mes","Enero")/GETPIVOTDATA(" APR. VIGENTE",$B$41,"Mes","Enero")</f>
        <v>0.42799626960108644</v>
      </c>
    </row>
    <row r="43" spans="1:18">
      <c r="B43" s="83" t="s">
        <v>146</v>
      </c>
      <c r="C43" s="85">
        <v>27842113287</v>
      </c>
      <c r="D43" s="85">
        <v>7793650092.8099995</v>
      </c>
      <c r="E43" s="85">
        <v>2341593113.8699999</v>
      </c>
      <c r="F43" t="str">
        <f t="shared" si="14"/>
        <v>Febrero</v>
      </c>
      <c r="G43" s="78">
        <f>+GETPIVOTDATA("SCOMPROMISO",$B$41,"Mes","Febrero")/GETPIVOTDATA(" APR. VIGENTE",$B$41,"Mes","Febrero")</f>
        <v>0.27992307956195983</v>
      </c>
      <c r="H43" s="78">
        <f>+GETPIVOTDATA("SOBLIGACION",$B$41,"Mes","Febrero")/GETPIVOTDATA(" APR. VIGENTE",$B$41,"Mes","Febrero")</f>
        <v>8.4102563973235941E-2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162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163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164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165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166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167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168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186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95043270277.809998</v>
      </c>
      <c r="E55" s="87">
        <v>75925468655.319992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187</v>
      </c>
    </row>
    <row r="6" spans="1:1">
      <c r="A6" s="86" t="s">
        <v>146</v>
      </c>
    </row>
    <row r="7" spans="1:1">
      <c r="A7" s="88" t="s">
        <v>187</v>
      </c>
    </row>
    <row r="8" spans="1:1">
      <c r="A8" s="86" t="s">
        <v>147</v>
      </c>
    </row>
    <row r="9" spans="1:1">
      <c r="A9" s="88" t="s">
        <v>187</v>
      </c>
    </row>
    <row r="10" spans="1:1">
      <c r="A10" s="86" t="s">
        <v>152</v>
      </c>
    </row>
    <row r="11" spans="1:1">
      <c r="A11" s="88" t="s">
        <v>187</v>
      </c>
    </row>
    <row r="12" spans="1:1">
      <c r="A12" s="86" t="s">
        <v>153</v>
      </c>
    </row>
    <row r="13" spans="1:1">
      <c r="A13" s="88" t="s">
        <v>187</v>
      </c>
    </row>
    <row r="14" spans="1:1">
      <c r="A14" s="86" t="s">
        <v>162</v>
      </c>
    </row>
    <row r="15" spans="1:1">
      <c r="A15" s="88" t="s">
        <v>187</v>
      </c>
    </row>
    <row r="16" spans="1:1">
      <c r="A16" s="86" t="s">
        <v>163</v>
      </c>
    </row>
    <row r="17" spans="1:1">
      <c r="A17" s="88" t="s">
        <v>187</v>
      </c>
    </row>
    <row r="18" spans="1:1">
      <c r="A18" s="86" t="s">
        <v>164</v>
      </c>
    </row>
    <row r="19" spans="1:1">
      <c r="A19" s="88" t="s">
        <v>187</v>
      </c>
    </row>
    <row r="20" spans="1:1">
      <c r="A20" s="86" t="s">
        <v>165</v>
      </c>
    </row>
    <row r="21" spans="1:1">
      <c r="A21" s="88" t="s">
        <v>187</v>
      </c>
    </row>
    <row r="22" spans="1:1">
      <c r="A22" s="86" t="s">
        <v>166</v>
      </c>
    </row>
    <row r="23" spans="1:1">
      <c r="A23" s="88" t="s">
        <v>187</v>
      </c>
    </row>
    <row r="24" spans="1:1">
      <c r="A24" s="86" t="s">
        <v>167</v>
      </c>
    </row>
    <row r="25" spans="1:1">
      <c r="A25" s="88" t="s">
        <v>187</v>
      </c>
    </row>
    <row r="26" spans="1:1">
      <c r="A26" s="86" t="s">
        <v>168</v>
      </c>
    </row>
    <row r="27" spans="1:1">
      <c r="A27" s="88" t="s">
        <v>187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169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170</v>
      </c>
      <c r="B3" s="34" t="s">
        <v>171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162</v>
      </c>
      <c r="I3" s="35" t="s">
        <v>163</v>
      </c>
      <c r="J3" s="35" t="s">
        <v>164</v>
      </c>
      <c r="K3" s="35" t="s">
        <v>165</v>
      </c>
      <c r="L3" s="35" t="s">
        <v>166</v>
      </c>
      <c r="M3" s="35" t="s">
        <v>167</v>
      </c>
      <c r="N3" s="35" t="s">
        <v>168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162</v>
      </c>
      <c r="U3" s="35" t="s">
        <v>163</v>
      </c>
      <c r="V3" s="35" t="s">
        <v>164</v>
      </c>
      <c r="W3" s="35" t="s">
        <v>165</v>
      </c>
      <c r="X3" s="35" t="s">
        <v>166</v>
      </c>
      <c r="Y3" s="35" t="s">
        <v>167</v>
      </c>
      <c r="Z3" s="35" t="s">
        <v>168</v>
      </c>
    </row>
    <row r="4" spans="1:26" ht="15.75">
      <c r="A4" s="37" t="s">
        <v>172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173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174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175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176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177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178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179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180</v>
      </c>
      <c r="B12" s="34" t="s">
        <v>171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162</v>
      </c>
      <c r="I12" s="35" t="s">
        <v>163</v>
      </c>
      <c r="J12" s="35" t="s">
        <v>164</v>
      </c>
      <c r="K12" s="35" t="s">
        <v>165</v>
      </c>
      <c r="L12" s="35" t="s">
        <v>166</v>
      </c>
      <c r="M12" s="35" t="s">
        <v>167</v>
      </c>
      <c r="N12" s="35" t="s">
        <v>168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162</v>
      </c>
      <c r="U12" s="35" t="s">
        <v>163</v>
      </c>
      <c r="V12" s="35" t="s">
        <v>164</v>
      </c>
      <c r="W12" s="35" t="s">
        <v>165</v>
      </c>
      <c r="X12" s="35" t="s">
        <v>166</v>
      </c>
      <c r="Y12" s="35" t="s">
        <v>167</v>
      </c>
      <c r="Z12" s="35" t="s">
        <v>168</v>
      </c>
    </row>
    <row r="13" spans="1:26" ht="15.75">
      <c r="A13" s="37" t="s">
        <v>172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173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174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175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176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177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181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179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182</v>
      </c>
      <c r="B21" s="34" t="s">
        <v>171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162</v>
      </c>
      <c r="I21" s="35" t="s">
        <v>163</v>
      </c>
      <c r="J21" s="35" t="s">
        <v>164</v>
      </c>
      <c r="K21" s="35" t="s">
        <v>165</v>
      </c>
      <c r="L21" s="35" t="s">
        <v>166</v>
      </c>
      <c r="M21" s="35" t="s">
        <v>167</v>
      </c>
      <c r="N21" s="35" t="s">
        <v>168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162</v>
      </c>
      <c r="U21" s="35" t="s">
        <v>163</v>
      </c>
      <c r="V21" s="35" t="s">
        <v>164</v>
      </c>
      <c r="W21" s="35" t="s">
        <v>165</v>
      </c>
      <c r="X21" s="35" t="s">
        <v>166</v>
      </c>
      <c r="Y21" s="35" t="s">
        <v>167</v>
      </c>
      <c r="Z21" s="35" t="s">
        <v>168</v>
      </c>
    </row>
    <row r="22" spans="1:26" ht="15.75">
      <c r="A22" s="37" t="s">
        <v>172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173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174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175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176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177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181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179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169</v>
      </c>
      <c r="B31" s="34" t="s">
        <v>171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162</v>
      </c>
      <c r="I31" s="34" t="s">
        <v>163</v>
      </c>
      <c r="J31" s="34" t="s">
        <v>164</v>
      </c>
      <c r="K31" s="34" t="s">
        <v>165</v>
      </c>
      <c r="L31" s="34" t="s">
        <v>166</v>
      </c>
      <c r="M31" s="34" t="s">
        <v>167</v>
      </c>
      <c r="N31" s="34" t="s">
        <v>168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162</v>
      </c>
      <c r="U31" s="53" t="s">
        <v>163</v>
      </c>
      <c r="V31" s="53" t="s">
        <v>164</v>
      </c>
      <c r="W31" s="53" t="s">
        <v>165</v>
      </c>
      <c r="X31" s="53" t="s">
        <v>166</v>
      </c>
      <c r="Y31" s="53" t="s">
        <v>167</v>
      </c>
      <c r="Z31" s="53" t="s">
        <v>168</v>
      </c>
    </row>
    <row r="32" spans="1:26" ht="15.75">
      <c r="A32" s="37" t="s">
        <v>172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173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174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175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176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177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178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179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180</v>
      </c>
      <c r="B40" s="34" t="s">
        <v>171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162</v>
      </c>
      <c r="I40" s="35" t="s">
        <v>163</v>
      </c>
      <c r="J40" s="35" t="s">
        <v>164</v>
      </c>
      <c r="K40" s="35" t="s">
        <v>165</v>
      </c>
      <c r="L40" s="35" t="s">
        <v>166</v>
      </c>
      <c r="M40" s="35" t="s">
        <v>167</v>
      </c>
      <c r="N40" s="35" t="s">
        <v>168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162</v>
      </c>
      <c r="U40" s="57" t="s">
        <v>163</v>
      </c>
      <c r="V40" s="57" t="s">
        <v>164</v>
      </c>
      <c r="W40" s="57" t="s">
        <v>165</v>
      </c>
      <c r="X40" s="57" t="s">
        <v>166</v>
      </c>
      <c r="Y40" s="57" t="s">
        <v>167</v>
      </c>
      <c r="Z40" s="57" t="s">
        <v>168</v>
      </c>
    </row>
    <row r="41" spans="1:26" ht="15.75">
      <c r="A41" s="37" t="s">
        <v>172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173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174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175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176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177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181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179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183</v>
      </c>
      <c r="B49" s="34" t="s">
        <v>171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162</v>
      </c>
      <c r="I49" s="35" t="s">
        <v>163</v>
      </c>
      <c r="J49" s="35" t="s">
        <v>164</v>
      </c>
      <c r="K49" s="35" t="s">
        <v>165</v>
      </c>
      <c r="L49" s="35" t="s">
        <v>166</v>
      </c>
      <c r="M49" s="35" t="s">
        <v>167</v>
      </c>
      <c r="N49" s="35" t="s">
        <v>168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162</v>
      </c>
      <c r="U49" s="57" t="s">
        <v>163</v>
      </c>
      <c r="V49" s="57" t="s">
        <v>164</v>
      </c>
      <c r="W49" s="57" t="s">
        <v>165</v>
      </c>
      <c r="X49" s="57" t="s">
        <v>166</v>
      </c>
      <c r="Y49" s="57" t="s">
        <v>167</v>
      </c>
      <c r="Z49" s="57" t="s">
        <v>168</v>
      </c>
    </row>
    <row r="50" spans="1:26" ht="15.75">
      <c r="A50" s="37" t="s">
        <v>172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173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174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175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176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177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181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179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39" t="s">
        <v>122</v>
      </c>
      <c r="D59" s="140"/>
      <c r="E59" s="140"/>
      <c r="F59" s="140"/>
      <c r="G59" s="140"/>
      <c r="H59" s="140"/>
      <c r="I59" s="140"/>
      <c r="J59" s="140"/>
      <c r="K59" s="140"/>
      <c r="L59" s="140"/>
    </row>
    <row r="60" spans="1:26" ht="47.25">
      <c r="C60" s="59">
        <v>20.239999999999998</v>
      </c>
      <c r="D60" s="60" t="s">
        <v>184</v>
      </c>
      <c r="E60" s="61" t="s">
        <v>194</v>
      </c>
      <c r="F60" s="61" t="s">
        <v>195</v>
      </c>
      <c r="G60" s="62">
        <v>2023</v>
      </c>
      <c r="H60" s="61" t="s">
        <v>196</v>
      </c>
      <c r="I60" s="61" t="s">
        <v>197</v>
      </c>
      <c r="J60" s="77" t="s">
        <v>187</v>
      </c>
      <c r="K60" s="61" t="s">
        <v>198</v>
      </c>
      <c r="L60" s="61" t="s">
        <v>199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187</v>
      </c>
      <c r="K61" s="39">
        <f>'BASE OBL-COM'!P4</f>
        <v>0.49540658210995853</v>
      </c>
      <c r="L61" s="39">
        <f>'BASE OBL-COM'!Q4</f>
        <v>0.42997067110459819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187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187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187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187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187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187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187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187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187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187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187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39" t="s">
        <v>185</v>
      </c>
      <c r="D74" s="140"/>
      <c r="E74" s="140"/>
      <c r="F74" s="140"/>
      <c r="G74" s="140"/>
      <c r="H74" s="140"/>
      <c r="I74" s="140"/>
      <c r="J74" s="140"/>
      <c r="K74" s="140"/>
      <c r="L74" s="140"/>
    </row>
    <row r="75" spans="3:14" ht="47.25">
      <c r="C75" s="59">
        <v>20.239999999999998</v>
      </c>
      <c r="D75" s="60" t="s">
        <v>184</v>
      </c>
      <c r="E75" s="61" t="s">
        <v>194</v>
      </c>
      <c r="F75" s="61" t="s">
        <v>195</v>
      </c>
      <c r="G75" s="62">
        <v>2023</v>
      </c>
      <c r="H75" s="61" t="s">
        <v>196</v>
      </c>
      <c r="I75" s="61" t="s">
        <v>197</v>
      </c>
      <c r="J75" s="77" t="s">
        <v>187</v>
      </c>
      <c r="K75" s="61" t="s">
        <v>198</v>
      </c>
      <c r="L75" s="61" t="s">
        <v>199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187</v>
      </c>
      <c r="K76" s="82">
        <f>'BASE OBL-COM'!P23</f>
        <v>0.96014118585031538</v>
      </c>
      <c r="L76" s="82">
        <f>'BASE OBL-COM'!Q23</f>
        <v>0.35398552241891262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187</v>
      </c>
      <c r="K77" s="82">
        <f>'BASE OBL-COM'!P24</f>
        <v>0.27992307956195983</v>
      </c>
      <c r="L77" s="82">
        <f>'BASE OBL-COM'!Q24</f>
        <v>8.4102563973235941E-2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187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187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187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187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187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187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187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187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187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187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0.37397506103144229</v>
      </c>
      <c r="F88" s="68">
        <f>+Ejecucion!D11/Ejecucion!B11</f>
        <v>0.12141857595822363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8" t="s">
        <v>182</v>
      </c>
      <c r="D90" s="138"/>
      <c r="E90" s="138"/>
      <c r="F90" s="138"/>
      <c r="G90" s="138"/>
      <c r="H90" s="138"/>
      <c r="I90" s="138"/>
    </row>
    <row r="91" spans="3:14" ht="47.25">
      <c r="C91" s="59">
        <v>20.239999999999998</v>
      </c>
      <c r="D91" s="60" t="s">
        <v>184</v>
      </c>
      <c r="E91" s="61" t="s">
        <v>194</v>
      </c>
      <c r="F91" s="61" t="s">
        <v>195</v>
      </c>
      <c r="G91" s="62">
        <v>2023</v>
      </c>
      <c r="H91" s="61" t="s">
        <v>196</v>
      </c>
      <c r="I91" s="61" t="s">
        <v>197</v>
      </c>
      <c r="J91" s="77" t="s">
        <v>187</v>
      </c>
      <c r="K91" s="61" t="s">
        <v>198</v>
      </c>
      <c r="L91" s="61" t="s">
        <v>199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187</v>
      </c>
      <c r="K92" s="82">
        <f>'BASE OBL-COM'!G42</f>
        <v>0.5074822668487543</v>
      </c>
      <c r="L92" s="82">
        <f>'BASE OBL-COM'!H42</f>
        <v>0.42799626960108644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187</v>
      </c>
      <c r="K93" s="82">
        <f>'BASE OBL-COM'!G43</f>
        <v>0.27992307956195983</v>
      </c>
      <c r="L93" s="82">
        <f>'BASE OBL-COM'!H43</f>
        <v>8.4102563973235941E-2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187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187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187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187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187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187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187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187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187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187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2024-07-02T21:41:10Z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