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5. Junio\"/>
    </mc:Choice>
  </mc:AlternateContent>
  <workbookProtection workbookAlgorithmName="SHA-512" workbookHashValue="AdpOHjUMg+5oGFx0PuhvAcr5nQefJhpF+tFHpCKnLfuoWEBkM8aHxTSLwaDjmyvgQOvOWZ/CpOG027v+xN3WeA==" workbookSaltValue="9bL+RS1l/tFxRpW7jJuiDA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55" r:id="rId8"/>
    <pivotCache cacheId="59" r:id="rId9"/>
    <pivotCache cacheId="6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D17" i="2"/>
  <c r="C10" i="2"/>
  <c r="D7" i="2"/>
  <c r="B17" i="2"/>
  <c r="C7" i="2"/>
  <c r="B16" i="2"/>
  <c r="C16" i="2"/>
  <c r="B7" i="2"/>
  <c r="C18" i="2"/>
  <c r="D9" i="2"/>
  <c r="D10" i="2"/>
  <c r="B10" i="2"/>
  <c r="C9" i="2"/>
  <c r="B9" i="2"/>
  <c r="B18" i="2"/>
  <c r="D16" i="2"/>
  <c r="C17" i="2"/>
  <c r="D18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8" i="32"/>
  <c r="H42" i="32"/>
  <c r="H48" i="32"/>
  <c r="H43" i="32"/>
  <c r="H45" i="32"/>
  <c r="H49" i="32"/>
  <c r="G49" i="32"/>
  <c r="H51" i="32"/>
  <c r="H50" i="32"/>
  <c r="G43" i="32"/>
  <c r="H44" i="32"/>
  <c r="G42" i="32"/>
  <c r="G44" i="32"/>
  <c r="H47" i="32"/>
  <c r="H53" i="32"/>
  <c r="G46" i="32"/>
  <c r="G50" i="32"/>
  <c r="G53" i="32"/>
  <c r="G52" i="32"/>
  <c r="H52" i="32"/>
  <c r="G47" i="32"/>
  <c r="G51" i="32"/>
  <c r="H46" i="32"/>
  <c r="G45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<sst xmlns="http://schemas.openxmlformats.org/spreadsheetml/2006/main" count="2118" uniqueCount="215">
  <si>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</si>
  <si>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</si>
  <si>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</si>
  <si>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</si>
  <si>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</si>
  <si>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</si>
  <si>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</si>
  <si>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</si>
  <si>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</si>
  <si>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</si>
  <si>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</si>
  <si>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</si>
  <si>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</si>
  <si>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</si>
  <si>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</si>
  <si>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</si>
  <si>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</si>
  <si>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</si>
  <si>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</si>
  <si>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</si>
  <si>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</si>
  <si>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</si>
  <si>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</si>
  <si>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</si>
  <si>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</si>
  <si>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</si>
  <si>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</si>
  <si>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</si>
  <si>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</si>
  <si>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</si>
  <si>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</si>
  <si>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</si>
  <si>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</si>
  <si>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</si>
  <si>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</si>
  <si>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</si>
  <si>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</si>
  <si>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</si>
  <si>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</si>
  <si>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</si>
  <si>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</si>
  <si>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</si>
  <si>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</si>
  <si>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</si>
  <si>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</si>
  <si>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</si>
  <si>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</si>
  <si>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</si>
  <si>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</si>
  <si>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</si>
  <si>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</si>
  <si>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</si>
  <si>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</si>
  <si>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</si>
  <si>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</si>
  <si>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</si>
  <si>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</si>
  <si>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</si>
  <si>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</si>
  <si>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</si>
  <si>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</si>
  <si>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</si>
  <si>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</si>
  <si>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</si>
  <si>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</si>
  <si>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</si>
  <si>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</si>
  <si>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</si>
  <si>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</si>
  <si>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</si>
  <si>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</si>
  <si>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</si>
  <si>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</si>
  <si>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</si>
  <si>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</si>
  <si>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</si>
  <si>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</si>
  <si>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</si>
  <si>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</si>
  <si>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</si>
  <si>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</si>
  <si>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</si>
  <si>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</si>
  <si>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</si>
  <si>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</si>
  <si>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</si>
  <si>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</si>
  <si>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</si>
  <si>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</si>
  <si>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</si>
  <si>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</si>
  <si>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</si>
  <si>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</si>
  <si>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</si>
  <si>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</si>
  <si>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</si>
  <si>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</si>
  <si>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</si>
  <si>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</si>
  <si>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</si>
  <si>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</si>
  <si>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</si>
  <si>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</si>
  <si>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</si>
  <si>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</si>
  <si>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</si>
  <si>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</si>
  <si>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</si>
  <si>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</si>
  <si>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</si>
  <si>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</si>
  <si>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</si>
  <si>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</si>
  <si>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</si>
  <si>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</si>
  <si>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</si>
  <si>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</si>
  <si>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</si>
  <si>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</si>
  <si>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</si>
  <si>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</si>
  <si>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</si>
  <si>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</si>
  <si>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</si>
  <si>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</si>
  <si>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</si>
  <si>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</si>
  <si>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</si>
  <si>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</si>
  <si>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</si>
  <si>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</si>
  <si>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</si>
  <si>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</si>
  <si>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</si>
  <si>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</si>
  <si>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</si>
  <si>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</si>
  <si>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</si>
  <si>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</si>
  <si>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</si>
  <si>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</si>
  <si>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</si>
  <si>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</si>
  <si>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</si>
  <si>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</si>
  <si>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</si>
  <si>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</si>
  <si>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</si>
  <si>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</si>
  <si>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</si>
  <si>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</si>
  <si>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</si>
  <si>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</si>
  <si>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</si>
  <si>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</si>
  <si>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</si>
  <si>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</si>
  <si>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</si>
  <si>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</si>
  <si>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</si>
  <si>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</si>
  <si>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</si>
  <si>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</si>
  <si>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</si>
  <si>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</si>
  <si>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</si>
  <si>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</si>
  <si>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</si>
  <si>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</si>
  <si>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</si>
  <si>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</si>
  <si>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</si>
  <si>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</si>
  <si>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</si>
  <si>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</si>
  <si>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</si>
  <si>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</si>
  <si>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</si>
  <si>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</si>
  <si>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</si>
  <si>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</si>
  <si>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</si>
  <si>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</si>
  <si>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</si>
  <si>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</si>
  <si>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</si>
  <si>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</si>
  <si>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</si>
  <si>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</si>
  <si>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</si>
  <si>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</si>
  <si>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</si>
  <si>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</si>
  <si>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</si>
  <si>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</si>
  <si>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</si>
  <si>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</si>
  <si>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</si>
  <si>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</si>
  <si>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</si>
  <si>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</si>
  <si>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</si>
  <si>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</si>
  <si>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</si>
  <si>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</si>
  <si>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</si>
  <si>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</si>
  <si>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</si>
  <si>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</si>
  <si>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</si>
  <si>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</si>
  <si>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</si>
  <si>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</si>
  <si>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</si>
  <si>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PRESUPUESTAL  mayo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</si>
</sst>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0" fontId="5" fillId="0" borderId="6" xfId="0" applyFont="1" applyFill="1" applyBorder="1" applyAlignment="1">
      <alignment horizontal="center" vertical="center" readingOrder="1"/>
    </xf>
    <xf numFmtId="0" fontId="5" fillId="0" borderId="6" xfId="0" applyFont="1" applyFill="1" applyBorder="1" applyAlignment="1">
      <alignment horizontal="left" vertical="center" readingOrder="1"/>
    </xf>
    <xf numFmtId="164" fontId="5" fillId="0" borderId="6" xfId="0" applyNumberFormat="1" applyFont="1" applyFill="1" applyBorder="1" applyAlignment="1">
      <alignment horizontal="right" vertical="center" readingOrder="1"/>
    </xf>
    <xf numFmtId="165" fontId="5" fillId="0" borderId="6" xfId="0" applyNumberFormat="1" applyFont="1" applyFill="1" applyBorder="1" applyAlignment="1">
      <alignment horizontal="right"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NumberFormat="1" applyFont="1" applyFill="1" applyBorder="1" applyAlignment="1">
      <alignment horizontal="left" vertical="center" readingOrder="1"/>
    </xf>
    <xf numFmtId="0" fontId="3" fillId="0" borderId="6" xfId="0" applyFont="1" applyFill="1" applyBorder="1" applyAlignme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75.698022800927" createdVersion="6" refreshedVersion="6" minRefreshableVersion="3" recordCount="281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953715000"/>
    </cacheField>
    <cacheField name="ORDEN PAGO" numFmtId="0">
      <sharedItems containsString="0" containsBlank="1" containsNumber="1" minValue="8110666" maxValue="953715000"/>
    </cacheField>
    <cacheField name="PAGOS" numFmtId="0">
      <sharedItems containsString="0" containsBlank="1" containsNumber="1" minValue="8110666" maxValue="953715000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7">
        <s v="A02"/>
        <s v="A03"/>
        <s v="A06"/>
        <s v="C35032"/>
        <s v="C35998"/>
        <s v="C35999"/>
        <s v="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75.698023611112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75.698023726851" createdVersion="6" refreshedVersion="6" minRefreshableVersion="3" recordCount="281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953715000"/>
    </cacheField>
    <cacheField name="ORDEN PAGO" numFmtId="0">
      <sharedItems containsString="0" containsBlank="1" containsNumber="1" minValue="8110666" maxValue="953715000"/>
    </cacheField>
    <cacheField name="PAGOS" numFmtId="0">
      <sharedItems containsString="0" containsBlank="1" containsNumber="1" minValue="8110666" maxValue="953715000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7">
        <s v="A02"/>
        <s v="A03"/>
        <s v="A06"/>
        <s v="C35032"/>
        <s v="C35998"/>
        <s v="C35999"/>
        <s v="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850523100.07000005"/>
    <n v="654376771.07000005"/>
    <n v="654376771.07000005"/>
    <m/>
    <m/>
    <x v="2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953715000"/>
    <n v="953715000"/>
    <n v="95371500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850523100.07000005"/>
    <n v="654376771.07000005"/>
    <n v="654376771.07000005"/>
    <m/>
    <m/>
    <x v="2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953715000"/>
    <n v="953715000"/>
    <n v="95371500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6" cacheId="6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8">
        <item x="6"/>
        <item m="1" x="7"/>
        <item m="1" x="11"/>
        <item m="1" x="10"/>
        <item x="3"/>
        <item x="4"/>
        <item x="5"/>
        <item m="1" x="13"/>
        <item m="1" x="14"/>
        <item x="0"/>
        <item x="1"/>
        <item x="2"/>
        <item m="1" x="16"/>
        <item m="1" x="8"/>
        <item m="1" x="12"/>
        <item m="1" x="9"/>
        <item m="1" x="15"/>
        <item t="default"/>
      </items>
    </pivotField>
  </pivotFields>
  <rowFields count="1">
    <field x="24"/>
  </rowFields>
  <rowItems count="8">
    <i>
      <x/>
    </i>
    <i>
      <x v="4"/>
    </i>
    <i>
      <x v="5"/>
    </i>
    <i>
      <x v="6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8" cacheId="5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0" cacheId="5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6" cacheId="5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5" cacheId="55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6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2" cacheId="5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2" cacheId="5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4" cacheId="5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5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2" totalsRowShown="0" headerRowDxfId="38" headerRowBorderDxfId="37" tableBorderDxfId="36">
  <autoFilter ref="A1:Z282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COMPROMISO" dataDxfId="16"/>
    <tableColumn id="21" name="OBLIGACION" dataDxfId="15"/>
    <tableColumn id="22" name="ORDEN PAGO" dataDxfId="14"/>
    <tableColumn id="32" name="PAGOS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zoomScale="55" zoomScaleNormal="98" zoomScaleSheetLayoutView="55" workbookViewId="0">
      <selection activeCell="B37" sqref="B37"/>
    </sheetView>
  </sheetViews>
  <sheetFormatPr baseColWidth="10" defaultRowHeight="15"/>
  <cols>
    <col min="1" max="1" width="66.44140625" style="102" customWidth="1"/>
    <col min="2" max="4" width="19.5546875" style="117" customWidth="1"/>
    <col min="5" max="5" width="23.5546875" style="117" customWidth="1"/>
    <col min="6" max="6" width="19.6640625" style="102" customWidth="1"/>
    <col min="7" max="7" width="17.77734375" style="102" customWidth="1"/>
    <col min="8" max="16384" width="11.5546875" style="102"/>
  </cols>
  <sheetData>
    <row r="2" spans="1:13" ht="64.5" customHeight="1">
      <c r="A2" s="140" t="s">
        <v>214</v>
      </c>
      <c r="B2" s="140"/>
      <c r="C2" s="140"/>
      <c r="D2" s="140"/>
      <c r="E2" s="140"/>
      <c r="F2" s="140"/>
      <c r="G2" s="140"/>
      <c r="H2" s="101"/>
      <c r="I2" s="101"/>
      <c r="J2" s="101"/>
      <c r="K2" s="101"/>
      <c r="L2" s="101"/>
      <c r="M2" s="101"/>
    </row>
    <row r="3" spans="1:13" ht="24">
      <c r="A3" s="141" t="s">
        <v>202</v>
      </c>
      <c r="B3" s="141"/>
      <c r="C3" s="141"/>
      <c r="D3" s="141"/>
      <c r="E3" s="141"/>
      <c r="F3" s="141"/>
      <c r="G3" s="141"/>
    </row>
    <row r="4" spans="1:13" ht="43.5" customHeight="1">
      <c r="A4" s="103" t="s">
        <v>107</v>
      </c>
      <c r="B4" s="104" t="s">
        <v>108</v>
      </c>
      <c r="C4" s="104" t="s">
        <v>208</v>
      </c>
      <c r="D4" s="104" t="s">
        <v>209</v>
      </c>
      <c r="E4" s="104" t="s">
        <v>210</v>
      </c>
      <c r="F4" s="104" t="s">
        <v>211</v>
      </c>
      <c r="G4" s="105" t="s">
        <v>212</v>
      </c>
    </row>
    <row r="5" spans="1:13" ht="15.75">
      <c r="A5" s="106"/>
      <c r="B5" s="107">
        <v>-1</v>
      </c>
      <c r="C5" s="107">
        <v>-2</v>
      </c>
      <c r="D5" s="107">
        <v>-3</v>
      </c>
      <c r="E5" s="107" t="s">
        <v>109</v>
      </c>
      <c r="F5" s="104" t="s">
        <v>110</v>
      </c>
      <c r="G5" s="105" t="s">
        <v>111</v>
      </c>
    </row>
    <row r="6" spans="1:13" ht="54">
      <c r="A6" s="108" t="s">
        <v>203</v>
      </c>
      <c r="B6" s="120">
        <f t="shared" ref="B6:G6" si="0">+B7</f>
        <v>9124500</v>
      </c>
      <c r="C6" s="120">
        <f t="shared" si="0"/>
        <v>8110666</v>
      </c>
      <c r="D6" s="120">
        <f t="shared" si="0"/>
        <v>8110666</v>
      </c>
      <c r="E6" s="120">
        <f t="shared" si="0"/>
        <v>1013834</v>
      </c>
      <c r="F6" s="121">
        <f t="shared" si="0"/>
        <v>0.8888888158255247</v>
      </c>
      <c r="G6" s="121">
        <f t="shared" si="0"/>
        <v>0.8888888158255247</v>
      </c>
    </row>
    <row r="7" spans="1:13" ht="42.75">
      <c r="A7" s="109" t="s">
        <v>182</v>
      </c>
      <c r="B7" s="122">
        <f>GETPIVOTDATA("Suma de COMPROMISO",CRIS!$A$2,"CM - A","C35032")</f>
        <v>9124500</v>
      </c>
      <c r="C7" s="122">
        <f>GETPIVOTDATA("Suma de OBLIGACION",CRIS!$A$2,"CM - A","C35032")</f>
        <v>8110666</v>
      </c>
      <c r="D7" s="122">
        <f>GETPIVOTDATA("Suma de ORDEN PAGO",CRIS!$A$2,"CM - A","C35032")</f>
        <v>8110666</v>
      </c>
      <c r="E7" s="123">
        <f>+B7-C7</f>
        <v>1013834</v>
      </c>
      <c r="F7" s="124">
        <f>+C7/B7</f>
        <v>0.8888888158255247</v>
      </c>
      <c r="G7" s="125">
        <f>+D7/B7</f>
        <v>0.8888888158255247</v>
      </c>
    </row>
    <row r="8" spans="1:13" ht="36">
      <c r="A8" s="110" t="s">
        <v>112</v>
      </c>
      <c r="B8" s="120">
        <f>+B9+B10</f>
        <v>1846306690.99</v>
      </c>
      <c r="C8" s="120">
        <f>+C9+C10</f>
        <v>1355709124.3699999</v>
      </c>
      <c r="D8" s="120">
        <f>+D9+D10</f>
        <v>1355709124.3699999</v>
      </c>
      <c r="E8" s="120">
        <f>SUM(E9:E10)</f>
        <v>490597566.62</v>
      </c>
      <c r="F8" s="126">
        <f>+C8/B8</f>
        <v>0.73428165048952998</v>
      </c>
      <c r="G8" s="127">
        <f>+D8/B8</f>
        <v>0.73428165048952998</v>
      </c>
    </row>
    <row r="9" spans="1:13" ht="28.5">
      <c r="A9" s="111" t="s">
        <v>183</v>
      </c>
      <c r="B9" s="122">
        <f>GETPIVOTDATA("Suma de COMPROMISO",CRIS!$A$2,"CM - A","C35998")</f>
        <v>401996690.99000001</v>
      </c>
      <c r="C9" s="122">
        <f>GETPIVOTDATA("Suma de OBLIGACION",CRIS!$A$2,"CM - A","C35998")</f>
        <v>401994124.37</v>
      </c>
      <c r="D9" s="122">
        <f>GETPIVOTDATA("Suma de ORDEN PAGO",CRIS!$A$2,"CM - A","C35998")</f>
        <v>401994124.37</v>
      </c>
      <c r="E9" s="122">
        <f>+B9-C9</f>
        <v>2566.6200000047684</v>
      </c>
      <c r="F9" s="124">
        <f>+C9/B9</f>
        <v>0.99999361532057962</v>
      </c>
      <c r="G9" s="128">
        <f>+D9/B9</f>
        <v>0.99999361532057962</v>
      </c>
    </row>
    <row r="10" spans="1:13" ht="29.25" thickBot="1">
      <c r="A10" s="109" t="s">
        <v>184</v>
      </c>
      <c r="B10" s="122">
        <f>GETPIVOTDATA("Suma de COMPROMISO",CRIS!$A$2,"CM - A","C35999")</f>
        <v>1444310000</v>
      </c>
      <c r="C10" s="122">
        <f>GETPIVOTDATA("Suma de OBLIGACION",CRIS!$A$2,"CM - A","C35999")</f>
        <v>953715000</v>
      </c>
      <c r="D10" s="122">
        <f>GETPIVOTDATA("Suma de ORDEN PAGO",CRIS!$A$2,"CM - A","C35999")</f>
        <v>953715000</v>
      </c>
      <c r="E10" s="122">
        <f>+B10-C10</f>
        <v>490595000</v>
      </c>
      <c r="F10" s="124">
        <f>+C10/B10</f>
        <v>0.66032569185285706</v>
      </c>
      <c r="G10" s="128">
        <f>+D10/B10</f>
        <v>0.66032569185285706</v>
      </c>
    </row>
    <row r="11" spans="1:13" ht="37.5" customHeight="1" thickBot="1">
      <c r="A11" s="112" t="s">
        <v>113</v>
      </c>
      <c r="B11" s="120">
        <f>+B8+B6</f>
        <v>1855431190.99</v>
      </c>
      <c r="C11" s="120">
        <f>++C8+C6</f>
        <v>1363819790.3699999</v>
      </c>
      <c r="D11" s="120">
        <f>+D8+D6</f>
        <v>1363819790.3699999</v>
      </c>
      <c r="E11" s="120">
        <f>+E6+E8</f>
        <v>491611400.62</v>
      </c>
      <c r="F11" s="126">
        <f>+C11/B11</f>
        <v>0.73504196598220839</v>
      </c>
      <c r="G11" s="127">
        <f>+D11/B11</f>
        <v>0.73504196598220839</v>
      </c>
    </row>
    <row r="12" spans="1:13" ht="24">
      <c r="A12" s="142" t="s">
        <v>114</v>
      </c>
      <c r="B12" s="143"/>
      <c r="C12" s="143"/>
      <c r="D12" s="143"/>
      <c r="E12" s="143"/>
      <c r="F12" s="143"/>
      <c r="G12" s="143"/>
    </row>
    <row r="13" spans="1:13" ht="31.5">
      <c r="A13" s="103" t="s">
        <v>115</v>
      </c>
      <c r="B13" s="104" t="s">
        <v>108</v>
      </c>
      <c r="C13" s="104" t="s">
        <v>208</v>
      </c>
      <c r="D13" s="104" t="s">
        <v>209</v>
      </c>
      <c r="E13" s="104" t="s">
        <v>210</v>
      </c>
      <c r="F13" s="104" t="s">
        <v>211</v>
      </c>
      <c r="G13" s="105" t="s">
        <v>212</v>
      </c>
    </row>
    <row r="14" spans="1:13" ht="15.75">
      <c r="A14" s="103"/>
      <c r="B14" s="107">
        <v>-1</v>
      </c>
      <c r="C14" s="107">
        <v>-2</v>
      </c>
      <c r="D14" s="107">
        <v>-3</v>
      </c>
      <c r="E14" s="107" t="s">
        <v>109</v>
      </c>
      <c r="F14" s="104" t="s">
        <v>110</v>
      </c>
      <c r="G14" s="105" t="s">
        <v>111</v>
      </c>
    </row>
    <row r="15" spans="1:13" ht="24">
      <c r="A15" s="113" t="s">
        <v>116</v>
      </c>
      <c r="B15" s="129">
        <f>SUM(B16:B18)</f>
        <v>2741541095.7200003</v>
      </c>
      <c r="C15" s="129">
        <f>SUM(C16:C18)</f>
        <v>1451040933.4299998</v>
      </c>
      <c r="D15" s="129">
        <f>SUM(D16:D18)</f>
        <v>1254894604.4299998</v>
      </c>
      <c r="E15" s="129">
        <f>SUM(E16:E18)</f>
        <v>1290500162.29</v>
      </c>
      <c r="F15" s="130">
        <f t="shared" ref="F15:F19" si="1">+C15/B15</f>
        <v>0.52927929320312395</v>
      </c>
      <c r="G15" s="131">
        <f t="shared" ref="G15:G19" si="2">+D15/B15</f>
        <v>0.45773328234586674</v>
      </c>
    </row>
    <row r="16" spans="1:13" ht="23.25">
      <c r="A16" s="114" t="s">
        <v>117</v>
      </c>
      <c r="B16" s="132">
        <f>GETPIVOTDATA("Suma de COMPROMISO",CRIS!$A$2,"CM - A","A02")</f>
        <v>78684034</v>
      </c>
      <c r="C16" s="132">
        <f>GETPIVOTDATA("Suma de OBLIGACION",CRIS!$A$2,"CM - A","A02")</f>
        <v>69320434</v>
      </c>
      <c r="D16" s="132">
        <f>GETPIVOTDATA("Suma de ORDEN PAGO",CRIS!$A$2,"CM - A","A02")</f>
        <v>69320434</v>
      </c>
      <c r="E16" s="122">
        <f>+B16-C16</f>
        <v>9363600</v>
      </c>
      <c r="F16" s="124">
        <f t="shared" si="1"/>
        <v>0.88099745877289415</v>
      </c>
      <c r="G16" s="128">
        <f t="shared" si="2"/>
        <v>0.88099745877289415</v>
      </c>
    </row>
    <row r="17" spans="1:7" ht="23.25">
      <c r="A17" s="114" t="s">
        <v>118</v>
      </c>
      <c r="B17" s="132">
        <f>GETPIVOTDATA("Suma de COMPROMISO",CRIS!$A$2,"CM - A","A03")</f>
        <v>593002505.72000003</v>
      </c>
      <c r="C17" s="132">
        <f>GETPIVOTDATA("Suma de OBLIGACION",CRIS!$A$2,"CM - A","A03")</f>
        <v>531197399.35999995</v>
      </c>
      <c r="D17" s="132">
        <f>GETPIVOTDATA("Suma de ORDEN PAGO",CRIS!$A$2,"CM - A","A03")</f>
        <v>531197399.35999995</v>
      </c>
      <c r="E17" s="122">
        <f>+B17-C17</f>
        <v>61805106.360000074</v>
      </c>
      <c r="F17" s="124">
        <f t="shared" si="1"/>
        <v>0.89577597773392414</v>
      </c>
      <c r="G17" s="128">
        <f t="shared" si="2"/>
        <v>0.89577597773392414</v>
      </c>
    </row>
    <row r="18" spans="1:7" ht="24" thickBot="1">
      <c r="A18" s="114" t="s">
        <v>119</v>
      </c>
      <c r="B18" s="132">
        <f>GETPIVOTDATA("Suma de COMPROMISO",CRIS!$A$2,"CM - A","A06")</f>
        <v>2069854556</v>
      </c>
      <c r="C18" s="132">
        <f>GETPIVOTDATA("Suma de OBLIGACION",CRIS!$A$2,"CM - A","A06")</f>
        <v>850523100.07000005</v>
      </c>
      <c r="D18" s="132">
        <f>GETPIVOTDATA("Suma de ORDEN PAGO",CRIS!$A$2,"CM - A","A06")</f>
        <v>654376771.07000005</v>
      </c>
      <c r="E18" s="122">
        <f>+B18-C18</f>
        <v>1219331455.9299998</v>
      </c>
      <c r="F18" s="124">
        <f t="shared" si="1"/>
        <v>0.41090959633107671</v>
      </c>
      <c r="G18" s="128">
        <f t="shared" si="2"/>
        <v>0.31614625731702861</v>
      </c>
    </row>
    <row r="19" spans="1:7" ht="21" thickBot="1">
      <c r="A19" s="115" t="s">
        <v>120</v>
      </c>
      <c r="B19" s="133">
        <f>SUM(B16:B18)</f>
        <v>2741541095.7200003</v>
      </c>
      <c r="C19" s="133">
        <f>SUM(C16:C18)</f>
        <v>1451040933.4299998</v>
      </c>
      <c r="D19" s="133">
        <f>SUM(D16:D18)</f>
        <v>1254894604.4299998</v>
      </c>
      <c r="E19" s="133">
        <f>SUM(E16:E18)</f>
        <v>1290500162.29</v>
      </c>
      <c r="F19" s="134">
        <f t="shared" si="1"/>
        <v>0.52927929320312395</v>
      </c>
      <c r="G19" s="134">
        <f t="shared" si="2"/>
        <v>0.45773328234586674</v>
      </c>
    </row>
    <row r="20" spans="1:7" ht="21" thickBot="1">
      <c r="A20" s="116"/>
      <c r="B20" s="135"/>
      <c r="C20" s="135"/>
      <c r="D20" s="135"/>
      <c r="E20" s="135"/>
      <c r="F20" s="136"/>
      <c r="G20" s="137"/>
    </row>
    <row r="21" spans="1:7" ht="21" thickBot="1">
      <c r="A21" s="115" t="s">
        <v>121</v>
      </c>
      <c r="B21" s="133">
        <f>+B19+B11</f>
        <v>4596972286.71</v>
      </c>
      <c r="C21" s="133">
        <f>+C19+C11</f>
        <v>2814860723.7999997</v>
      </c>
      <c r="D21" s="133">
        <f>+D19+D11</f>
        <v>2618714394.7999997</v>
      </c>
      <c r="E21" s="133">
        <f>+E19+E11</f>
        <v>1782111562.9099998</v>
      </c>
      <c r="F21" s="134">
        <f>+C21/B21</f>
        <v>0.61232927854228225</v>
      </c>
      <c r="G21" s="134">
        <f>+D21/B21</f>
        <v>0.56966068783377055</v>
      </c>
    </row>
    <row r="22" spans="1:7">
      <c r="B22" s="138"/>
      <c r="C22" s="138"/>
      <c r="D22" s="138"/>
      <c r="E22" s="138"/>
      <c r="F22" s="139"/>
      <c r="G22" s="139"/>
    </row>
    <row r="28" spans="1:7">
      <c r="F28" s="118"/>
    </row>
    <row r="29" spans="1:7">
      <c r="F29" s="119"/>
    </row>
  </sheetData>
  <sheetProtection algorithmName="SHA-512" hashValue="aQfFt/BlWFZbmHng85kQUTLH4RzhPrm5IjuDR2C/dFs1oGJtEuoAD2rDUkjzchQJjCuZGvDOUQJmkg5iOSUnsw==" saltValue="eepjBULe8KoRA71HEM312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85" customWidth="1"/>
    <col min="3" max="3" width="15.88671875" style="85" customWidth="1"/>
    <col min="4" max="4" width="16.44140625" style="8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84" t="s">
        <v>143</v>
      </c>
      <c r="B2" s="85" t="s">
        <v>207</v>
      </c>
      <c r="C2" s="85" t="s">
        <v>139</v>
      </c>
      <c r="D2" s="85" t="s">
        <v>197</v>
      </c>
    </row>
    <row r="3" spans="1:4">
      <c r="A3" s="86"/>
    </row>
    <row r="4" spans="1:4">
      <c r="A4" s="86" t="s">
        <v>194</v>
      </c>
      <c r="B4" s="85">
        <v>9124500</v>
      </c>
      <c r="C4" s="85">
        <v>8110666</v>
      </c>
      <c r="D4" s="85">
        <v>8110666</v>
      </c>
    </row>
    <row r="5" spans="1:4">
      <c r="A5" s="86" t="s">
        <v>195</v>
      </c>
      <c r="B5" s="85">
        <v>401996690.99000001</v>
      </c>
      <c r="C5" s="85">
        <v>401994124.37</v>
      </c>
      <c r="D5" s="85">
        <v>401994124.37</v>
      </c>
    </row>
    <row r="6" spans="1:4">
      <c r="A6" s="86" t="s">
        <v>196</v>
      </c>
      <c r="B6" s="85">
        <v>1444310000</v>
      </c>
      <c r="C6" s="85">
        <v>953715000</v>
      </c>
      <c r="D6" s="85">
        <v>953715000</v>
      </c>
    </row>
    <row r="7" spans="1:4">
      <c r="A7" s="86" t="s">
        <v>128</v>
      </c>
      <c r="B7" s="85">
        <v>78684034</v>
      </c>
      <c r="C7" s="85">
        <v>69320434</v>
      </c>
      <c r="D7" s="85">
        <v>69320434</v>
      </c>
    </row>
    <row r="8" spans="1:4">
      <c r="A8" s="86" t="s">
        <v>129</v>
      </c>
      <c r="B8" s="85">
        <v>593002505.72000003</v>
      </c>
      <c r="C8" s="85">
        <v>531197399.35999995</v>
      </c>
      <c r="D8" s="85">
        <v>531197399.35999995</v>
      </c>
    </row>
    <row r="9" spans="1:4">
      <c r="A9" s="86" t="s">
        <v>130</v>
      </c>
      <c r="B9" s="85">
        <v>2069854556</v>
      </c>
      <c r="C9" s="85">
        <v>850523100.07000005</v>
      </c>
      <c r="D9" s="85">
        <v>654376771.07000005</v>
      </c>
    </row>
    <row r="10" spans="1:4">
      <c r="A10" s="86" t="s">
        <v>138</v>
      </c>
      <c r="B10" s="85">
        <v>4596972286.71</v>
      </c>
      <c r="C10" s="85">
        <v>2814860723.7999997</v>
      </c>
      <c r="D10" s="85">
        <v>2618714394.7999997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zoomScale="80" zoomScaleNormal="80" workbookViewId="0">
      <pane ySplit="1" topLeftCell="A2" activePane="bottomLeft" state="frozen"/>
      <selection activeCell="B1" sqref="B1"/>
      <selection pane="bottomLeft" activeCell="B2" sqref="B2:W8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100" customWidth="1"/>
    <col min="18" max="18" width="14.44140625" style="24" customWidth="1"/>
    <col min="19" max="19" width="10.44140625" style="24" customWidth="1"/>
    <col min="20" max="20" width="16.21875" style="24" customWidth="1"/>
    <col min="21" max="21" width="15.109375" style="24" customWidth="1"/>
    <col min="22" max="22" width="17.109375" style="24" customWidth="1"/>
    <col min="23" max="23" width="13.6640625" style="23" customWidth="1"/>
    <col min="24" max="25" width="13.6640625" style="23" hidden="1" customWidth="1"/>
    <col min="26" max="26" width="22.33203125" hidden="1" customWidth="1"/>
  </cols>
  <sheetData>
    <row r="1" spans="1:26" ht="47.25">
      <c r="A1" s="25" t="s">
        <v>134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188</v>
      </c>
      <c r="H1" s="25" t="s">
        <v>12</v>
      </c>
      <c r="I1" s="25" t="s">
        <v>13</v>
      </c>
      <c r="J1" s="25" t="s">
        <v>189</v>
      </c>
      <c r="K1" s="25" t="s">
        <v>15</v>
      </c>
      <c r="L1" s="25" t="s">
        <v>192</v>
      </c>
      <c r="M1" s="25" t="s">
        <v>193</v>
      </c>
      <c r="N1" s="25" t="s">
        <v>18</v>
      </c>
      <c r="O1" s="25" t="s">
        <v>19</v>
      </c>
      <c r="P1" s="25" t="s">
        <v>20</v>
      </c>
      <c r="Q1" s="98" t="s">
        <v>21</v>
      </c>
      <c r="R1" s="25" t="s">
        <v>190</v>
      </c>
      <c r="S1" s="25" t="s">
        <v>191</v>
      </c>
      <c r="T1" s="25" t="s">
        <v>29</v>
      </c>
      <c r="U1" s="25" t="s">
        <v>30</v>
      </c>
      <c r="V1" s="25" t="s">
        <v>31</v>
      </c>
      <c r="W1" s="25" t="s">
        <v>32</v>
      </c>
      <c r="X1" s="25" t="s">
        <v>145</v>
      </c>
      <c r="Y1" s="25" t="s">
        <v>144</v>
      </c>
      <c r="Z1" s="15" t="s">
        <v>142</v>
      </c>
    </row>
    <row r="2" spans="1:26">
      <c r="A2" s="16" t="s">
        <v>135</v>
      </c>
      <c r="B2" s="90" t="s">
        <v>33</v>
      </c>
      <c r="C2" s="91" t="s">
        <v>34</v>
      </c>
      <c r="D2" s="92" t="s">
        <v>54</v>
      </c>
      <c r="E2" s="93" t="s">
        <v>36</v>
      </c>
      <c r="F2" s="93" t="s">
        <v>43</v>
      </c>
      <c r="G2" s="90"/>
      <c r="H2" s="90"/>
      <c r="I2" s="93"/>
      <c r="J2" s="93"/>
      <c r="K2" s="93"/>
      <c r="L2" s="93"/>
      <c r="M2" s="93"/>
      <c r="N2" s="93" t="s">
        <v>38</v>
      </c>
      <c r="O2" s="93" t="s">
        <v>39</v>
      </c>
      <c r="P2" s="93" t="s">
        <v>40</v>
      </c>
      <c r="Q2" s="94" t="s">
        <v>55</v>
      </c>
      <c r="R2" s="95" t="s">
        <v>1</v>
      </c>
      <c r="S2" s="95" t="s">
        <v>1</v>
      </c>
      <c r="T2" s="95">
        <v>78684034</v>
      </c>
      <c r="U2" s="96">
        <v>69320434</v>
      </c>
      <c r="V2" s="95">
        <v>69320434</v>
      </c>
      <c r="W2" s="97">
        <v>69320434</v>
      </c>
      <c r="X2" s="22"/>
      <c r="Y2" s="22"/>
      <c r="Z2" s="83" t="str">
        <f>IF(Super[[#This Row],[TIPO]]="A",CONCATENATE(Super[[#This Row],[TIPO]],Super[[#This Row],[CTA]]),CONCATENATE(Super[[#This Row],[TIPO]],Super[[#This Row],[CTA]],Super[[#This Row],[OBJ]]))</f>
        <v>A02</v>
      </c>
    </row>
    <row r="3" spans="1:26">
      <c r="A3" s="16" t="s">
        <v>135</v>
      </c>
      <c r="B3" s="90" t="s">
        <v>33</v>
      </c>
      <c r="C3" s="91" t="s">
        <v>34</v>
      </c>
      <c r="D3" s="92" t="s">
        <v>204</v>
      </c>
      <c r="E3" s="93" t="s">
        <v>36</v>
      </c>
      <c r="F3" s="93" t="s">
        <v>46</v>
      </c>
      <c r="G3" s="90" t="s">
        <v>46</v>
      </c>
      <c r="H3" s="90" t="s">
        <v>37</v>
      </c>
      <c r="I3" s="93" t="s">
        <v>213</v>
      </c>
      <c r="J3" s="93"/>
      <c r="K3" s="93"/>
      <c r="L3" s="93"/>
      <c r="M3" s="93"/>
      <c r="N3" s="93" t="s">
        <v>205</v>
      </c>
      <c r="O3" s="93" t="s">
        <v>78</v>
      </c>
      <c r="P3" s="93" t="s">
        <v>40</v>
      </c>
      <c r="Q3" s="94" t="s">
        <v>206</v>
      </c>
      <c r="R3" s="95" t="s">
        <v>1</v>
      </c>
      <c r="S3" s="95" t="s">
        <v>1</v>
      </c>
      <c r="T3" s="95">
        <v>512004345.38999999</v>
      </c>
      <c r="U3" s="96">
        <v>450199239.02999997</v>
      </c>
      <c r="V3" s="95">
        <v>450199239.02999997</v>
      </c>
      <c r="W3" s="97">
        <v>450199239.02999997</v>
      </c>
      <c r="X3" s="22"/>
      <c r="Y3" s="22"/>
      <c r="Z3" s="8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6">
      <c r="A4" s="16" t="s">
        <v>135</v>
      </c>
      <c r="B4" s="90" t="s">
        <v>33</v>
      </c>
      <c r="C4" s="91" t="s">
        <v>34</v>
      </c>
      <c r="D4" s="92" t="s">
        <v>77</v>
      </c>
      <c r="E4" s="93" t="s">
        <v>36</v>
      </c>
      <c r="F4" s="93" t="s">
        <v>46</v>
      </c>
      <c r="G4" s="90" t="s">
        <v>78</v>
      </c>
      <c r="H4" s="90"/>
      <c r="I4" s="93"/>
      <c r="J4" s="93"/>
      <c r="K4" s="93"/>
      <c r="L4" s="93"/>
      <c r="M4" s="93"/>
      <c r="N4" s="93" t="s">
        <v>38</v>
      </c>
      <c r="O4" s="93" t="s">
        <v>39</v>
      </c>
      <c r="P4" s="93" t="s">
        <v>40</v>
      </c>
      <c r="Q4" s="94" t="s">
        <v>79</v>
      </c>
      <c r="R4" s="95" t="s">
        <v>1</v>
      </c>
      <c r="S4" s="95" t="s">
        <v>1</v>
      </c>
      <c r="T4" s="95">
        <v>80998160.329999998</v>
      </c>
      <c r="U4" s="96">
        <v>80998160.329999998</v>
      </c>
      <c r="V4" s="95">
        <v>80998160.329999998</v>
      </c>
      <c r="W4" s="97">
        <v>80998160.329999998</v>
      </c>
      <c r="X4" s="22"/>
      <c r="Y4" s="22"/>
      <c r="Z4" s="83" t="str">
        <f>IF(Super[[#This Row],[TIPO]]="A",CONCATENATE(Super[[#This Row],[TIPO]],Super[[#This Row],[CTA]]),CONCATENATE(Super[[#This Row],[TIPO]],Super[[#This Row],[CTA]],Super[[#This Row],[OBJ]]))</f>
        <v>A03</v>
      </c>
    </row>
    <row r="5" spans="1:26">
      <c r="A5" s="16" t="s">
        <v>135</v>
      </c>
      <c r="B5" s="90" t="s">
        <v>33</v>
      </c>
      <c r="C5" s="91" t="s">
        <v>34</v>
      </c>
      <c r="D5" s="92" t="s">
        <v>84</v>
      </c>
      <c r="E5" s="93" t="s">
        <v>36</v>
      </c>
      <c r="F5" s="93" t="s">
        <v>85</v>
      </c>
      <c r="G5" s="90" t="s">
        <v>37</v>
      </c>
      <c r="H5" s="90" t="s">
        <v>49</v>
      </c>
      <c r="I5" s="93" t="s">
        <v>86</v>
      </c>
      <c r="J5" s="93"/>
      <c r="K5" s="93"/>
      <c r="L5" s="93"/>
      <c r="M5" s="93"/>
      <c r="N5" s="93" t="s">
        <v>38</v>
      </c>
      <c r="O5" s="93" t="s">
        <v>87</v>
      </c>
      <c r="P5" s="93" t="s">
        <v>40</v>
      </c>
      <c r="Q5" s="94" t="s">
        <v>88</v>
      </c>
      <c r="R5" s="95" t="s">
        <v>1</v>
      </c>
      <c r="S5" s="95" t="s">
        <v>1</v>
      </c>
      <c r="T5" s="95">
        <v>2069854556</v>
      </c>
      <c r="U5" s="96">
        <v>850523100.07000005</v>
      </c>
      <c r="V5" s="95">
        <v>654376771.07000005</v>
      </c>
      <c r="W5" s="97">
        <v>654376771.07000005</v>
      </c>
      <c r="X5" s="22"/>
      <c r="Y5" s="22"/>
      <c r="Z5" s="83" t="str">
        <f>IF(Super[[#This Row],[TIPO]]="A",CONCATENATE(Super[[#This Row],[TIPO]],Super[[#This Row],[CTA]]),CONCATENATE(Super[[#This Row],[TIPO]],Super[[#This Row],[CTA]],Super[[#This Row],[OBJ]]))</f>
        <v>A06</v>
      </c>
    </row>
    <row r="6" spans="1:26">
      <c r="A6" s="16" t="s">
        <v>135</v>
      </c>
      <c r="B6" s="90" t="s">
        <v>33</v>
      </c>
      <c r="C6" s="91" t="s">
        <v>34</v>
      </c>
      <c r="D6" s="92" t="s">
        <v>185</v>
      </c>
      <c r="E6" s="93" t="s">
        <v>95</v>
      </c>
      <c r="F6" s="93" t="s">
        <v>199</v>
      </c>
      <c r="G6" s="90" t="s">
        <v>97</v>
      </c>
      <c r="H6" s="90" t="s">
        <v>198</v>
      </c>
      <c r="I6" s="93" t="s">
        <v>1</v>
      </c>
      <c r="J6" s="93" t="s">
        <v>1</v>
      </c>
      <c r="K6" s="93" t="s">
        <v>1</v>
      </c>
      <c r="L6" s="93" t="s">
        <v>1</v>
      </c>
      <c r="M6" s="93" t="s">
        <v>1</v>
      </c>
      <c r="N6" s="93" t="s">
        <v>38</v>
      </c>
      <c r="O6" s="93" t="s">
        <v>39</v>
      </c>
      <c r="P6" s="93" t="s">
        <v>40</v>
      </c>
      <c r="Q6" s="94" t="s">
        <v>182</v>
      </c>
      <c r="R6" s="95" t="s">
        <v>1</v>
      </c>
      <c r="S6" s="95" t="s">
        <v>1</v>
      </c>
      <c r="T6" s="95">
        <v>9124500</v>
      </c>
      <c r="U6" s="96">
        <v>8110666</v>
      </c>
      <c r="V6" s="95">
        <v>8110666</v>
      </c>
      <c r="W6" s="97">
        <v>8110666</v>
      </c>
      <c r="X6" s="22"/>
      <c r="Y6" s="22"/>
      <c r="Z6" s="83" t="str">
        <f>IF(Super[[#This Row],[TIPO]]="A",CONCATENATE(Super[[#This Row],[TIPO]],Super[[#This Row],[CTA]]),CONCATENATE(Super[[#This Row],[TIPO]],Super[[#This Row],[CTA]],Super[[#This Row],[OBJ]]))</f>
        <v>C35032</v>
      </c>
    </row>
    <row r="7" spans="1:26">
      <c r="A7" s="16" t="s">
        <v>135</v>
      </c>
      <c r="B7" s="90" t="s">
        <v>33</v>
      </c>
      <c r="C7" s="91" t="s">
        <v>34</v>
      </c>
      <c r="D7" s="92" t="s">
        <v>186</v>
      </c>
      <c r="E7" s="93" t="s">
        <v>95</v>
      </c>
      <c r="F7" s="93" t="s">
        <v>102</v>
      </c>
      <c r="G7" s="90" t="s">
        <v>97</v>
      </c>
      <c r="H7" s="90" t="s">
        <v>200</v>
      </c>
      <c r="I7" s="93"/>
      <c r="J7" s="93"/>
      <c r="K7" s="93"/>
      <c r="L7" s="93"/>
      <c r="M7" s="93"/>
      <c r="N7" s="93" t="s">
        <v>38</v>
      </c>
      <c r="O7" s="93" t="s">
        <v>39</v>
      </c>
      <c r="P7" s="93" t="s">
        <v>40</v>
      </c>
      <c r="Q7" s="94" t="s">
        <v>183</v>
      </c>
      <c r="R7" s="95" t="s">
        <v>1</v>
      </c>
      <c r="S7" s="95" t="s">
        <v>1</v>
      </c>
      <c r="T7" s="95">
        <v>401996690.99000001</v>
      </c>
      <c r="U7" s="96">
        <v>401994124.37</v>
      </c>
      <c r="V7" s="95">
        <v>401994124.37</v>
      </c>
      <c r="W7" s="97">
        <v>401994124.37</v>
      </c>
      <c r="X7" s="22"/>
      <c r="Y7" s="22"/>
      <c r="Z7" s="83" t="str">
        <f>IF(Super[[#This Row],[TIPO]]="A",CONCATENATE(Super[[#This Row],[TIPO]],Super[[#This Row],[CTA]]),CONCATENATE(Super[[#This Row],[TIPO]],Super[[#This Row],[CTA]],Super[[#This Row],[OBJ]]))</f>
        <v>C35998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187</v>
      </c>
      <c r="E8" s="19" t="s">
        <v>95</v>
      </c>
      <c r="F8" s="19" t="s">
        <v>102</v>
      </c>
      <c r="G8" s="17" t="s">
        <v>97</v>
      </c>
      <c r="H8" s="17" t="s">
        <v>201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94" t="s">
        <v>184</v>
      </c>
      <c r="R8" s="20" t="s">
        <v>1</v>
      </c>
      <c r="S8" s="20" t="s">
        <v>1</v>
      </c>
      <c r="T8" s="20">
        <v>1444310000</v>
      </c>
      <c r="U8" s="20">
        <v>953715000</v>
      </c>
      <c r="V8" s="20">
        <v>953715000</v>
      </c>
      <c r="W8" s="22">
        <v>953715000</v>
      </c>
      <c r="X8" s="22"/>
      <c r="Y8" s="22"/>
      <c r="Z8" s="83" t="str">
        <f>IF(Super[[#This Row],[TIPO]]="A",CONCATENATE(Super[[#This Row],[TIPO]],Super[[#This Row],[CTA]]),CONCATENATE(Super[[#This Row],[TIPO]],Super[[#This Row],[CTA]],Super[[#This Row],[OBJ]]))</f>
        <v>C35999</v>
      </c>
    </row>
    <row r="9" spans="1:26">
      <c r="A9" s="16" t="s">
        <v>135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94"/>
      <c r="R9" s="20"/>
      <c r="S9" s="20"/>
      <c r="T9" s="20"/>
      <c r="U9" s="20"/>
      <c r="V9" s="20"/>
      <c r="W9" s="22"/>
      <c r="X9" s="22"/>
      <c r="Y9" s="22"/>
      <c r="Z9" s="83" t="str">
        <f>IF(Super[[#This Row],[TIPO]]="A",CONCATENATE(Super[[#This Row],[TIPO]],Super[[#This Row],[CTA]]),CONCATENATE(Super[[#This Row],[TIPO]],Super[[#This Row],[CTA]],Super[[#This Row],[OBJ]]))</f>
        <v/>
      </c>
    </row>
    <row r="10" spans="1:26">
      <c r="A10" s="16" t="s">
        <v>135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94"/>
      <c r="R10" s="20"/>
      <c r="S10" s="20"/>
      <c r="T10" s="20"/>
      <c r="U10" s="20"/>
      <c r="V10" s="20"/>
      <c r="W10" s="22"/>
      <c r="X10" s="22"/>
      <c r="Y10" s="22"/>
      <c r="Z10" s="83" t="str">
        <f>IF(Super[[#This Row],[TIPO]]="A",CONCATENATE(Super[[#This Row],[TIPO]],Super[[#This Row],[CTA]]),CONCATENATE(Super[[#This Row],[TIPO]],Super[[#This Row],[CTA]],Super[[#This Row],[OBJ]]))</f>
        <v/>
      </c>
    </row>
    <row r="11" spans="1:26">
      <c r="A11" s="16" t="s">
        <v>135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94"/>
      <c r="R11" s="20"/>
      <c r="S11" s="20"/>
      <c r="T11" s="20"/>
      <c r="U11" s="20"/>
      <c r="V11" s="20"/>
      <c r="W11" s="22"/>
      <c r="X11" s="22"/>
      <c r="Y11" s="22"/>
      <c r="Z11" s="83" t="str">
        <f>IF(Super[[#This Row],[TIPO]]="A",CONCATENATE(Super[[#This Row],[TIPO]],Super[[#This Row],[CTA]]),CONCATENATE(Super[[#This Row],[TIPO]],Super[[#This Row],[CTA]],Super[[#This Row],[OBJ]]))</f>
        <v/>
      </c>
    </row>
    <row r="12" spans="1:26">
      <c r="A12" s="16" t="s">
        <v>135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94"/>
      <c r="R12" s="20"/>
      <c r="S12" s="20"/>
      <c r="T12" s="20"/>
      <c r="U12" s="20"/>
      <c r="V12" s="20"/>
      <c r="W12" s="22"/>
      <c r="X12" s="22"/>
      <c r="Y12" s="22"/>
      <c r="Z12" s="83" t="str">
        <f>IF(Super[[#This Row],[TIPO]]="A",CONCATENATE(Super[[#This Row],[TIPO]],Super[[#This Row],[CTA]]),CONCATENATE(Super[[#This Row],[TIPO]],Super[[#This Row],[CTA]],Super[[#This Row],[OBJ]]))</f>
        <v/>
      </c>
    </row>
    <row r="13" spans="1:26">
      <c r="A13" s="16" t="s">
        <v>135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94"/>
      <c r="R13" s="20"/>
      <c r="S13" s="20"/>
      <c r="T13" s="20"/>
      <c r="U13" s="20"/>
      <c r="V13" s="20"/>
      <c r="W13" s="22"/>
      <c r="X13" s="22"/>
      <c r="Y13" s="22"/>
      <c r="Z13" s="83" t="str">
        <f>IF(Super[[#This Row],[TIPO]]="A",CONCATENATE(Super[[#This Row],[TIPO]],Super[[#This Row],[CTA]]),CONCATENATE(Super[[#This Row],[TIPO]],Super[[#This Row],[CTA]],Super[[#This Row],[OBJ]]))</f>
        <v/>
      </c>
    </row>
    <row r="14" spans="1:26">
      <c r="A14" s="16" t="s">
        <v>135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94"/>
      <c r="R14" s="20"/>
      <c r="S14" s="20"/>
      <c r="T14" s="20"/>
      <c r="U14" s="20"/>
      <c r="V14" s="20"/>
      <c r="W14" s="22"/>
      <c r="X14" s="22"/>
      <c r="Y14" s="22"/>
      <c r="Z14" s="83" t="str">
        <f>IF(Super[[#This Row],[TIPO]]="A",CONCATENATE(Super[[#This Row],[TIPO]],Super[[#This Row],[CTA]]),CONCATENATE(Super[[#This Row],[TIPO]],Super[[#This Row],[CTA]],Super[[#This Row],[OBJ]]))</f>
        <v/>
      </c>
    </row>
    <row r="15" spans="1:26">
      <c r="A15" s="16" t="s">
        <v>135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94"/>
      <c r="R15" s="20"/>
      <c r="S15" s="20"/>
      <c r="T15" s="20"/>
      <c r="U15" s="20"/>
      <c r="V15" s="20"/>
      <c r="W15" s="22"/>
      <c r="X15" s="22"/>
      <c r="Y15" s="22"/>
      <c r="Z15" s="83" t="str">
        <f>IF(Super[[#This Row],[TIPO]]="A",CONCATENATE(Super[[#This Row],[TIPO]],Super[[#This Row],[CTA]]),CONCATENATE(Super[[#This Row],[TIPO]],Super[[#This Row],[CTA]],Super[[#This Row],[OBJ]]))</f>
        <v/>
      </c>
    </row>
    <row r="16" spans="1:26">
      <c r="A16" s="16" t="s">
        <v>135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94"/>
      <c r="R16" s="20"/>
      <c r="S16" s="20"/>
      <c r="T16" s="20"/>
      <c r="U16" s="20"/>
      <c r="V16" s="20"/>
      <c r="W16" s="22"/>
      <c r="X16" s="22"/>
      <c r="Y16" s="22"/>
      <c r="Z16" s="83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94"/>
      <c r="R17" s="20"/>
      <c r="S17" s="20"/>
      <c r="T17" s="20"/>
      <c r="U17" s="20"/>
      <c r="V17" s="20"/>
      <c r="W17" s="22"/>
      <c r="X17" s="22"/>
      <c r="Y17" s="22"/>
      <c r="Z17" s="83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94"/>
      <c r="R18" s="20"/>
      <c r="S18" s="20"/>
      <c r="T18" s="20"/>
      <c r="U18" s="20"/>
      <c r="V18" s="20"/>
      <c r="W18" s="22"/>
      <c r="X18" s="22"/>
      <c r="Y18" s="22"/>
      <c r="Z18" s="83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94"/>
      <c r="R19" s="20"/>
      <c r="S19" s="20"/>
      <c r="T19" s="20"/>
      <c r="U19" s="20"/>
      <c r="V19" s="20"/>
      <c r="W19" s="22"/>
      <c r="X19" s="22"/>
      <c r="Y19" s="22"/>
      <c r="Z19" s="83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94"/>
      <c r="R20" s="20"/>
      <c r="S20" s="20"/>
      <c r="T20" s="20"/>
      <c r="U20" s="20"/>
      <c r="V20" s="20"/>
      <c r="W20" s="22"/>
      <c r="X20" s="22"/>
      <c r="Y20" s="22"/>
      <c r="Z20" s="83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94"/>
      <c r="R21" s="20"/>
      <c r="S21" s="20"/>
      <c r="T21" s="20"/>
      <c r="U21" s="20"/>
      <c r="V21" s="20"/>
      <c r="W21" s="22"/>
      <c r="X21" s="22"/>
      <c r="Y21" s="22"/>
      <c r="Z21" s="83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94"/>
      <c r="R22" s="20"/>
      <c r="S22" s="20"/>
      <c r="T22" s="20"/>
      <c r="U22" s="20"/>
      <c r="V22" s="20"/>
      <c r="W22" s="22"/>
      <c r="X22" s="22"/>
      <c r="Y22" s="22"/>
      <c r="Z22" s="83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94"/>
      <c r="R23" s="20"/>
      <c r="S23" s="20"/>
      <c r="T23" s="20"/>
      <c r="U23" s="20"/>
      <c r="V23" s="20"/>
      <c r="W23" s="22"/>
      <c r="X23" s="22"/>
      <c r="Y23" s="22"/>
      <c r="Z23" s="8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89"/>
      <c r="C24" s="27"/>
      <c r="D24" s="2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9"/>
      <c r="R24" s="29"/>
      <c r="S24" s="29"/>
      <c r="T24" s="29"/>
      <c r="U24" s="29"/>
      <c r="V24" s="29"/>
      <c r="W24" s="22"/>
      <c r="X24" s="22"/>
      <c r="Y24" s="22"/>
      <c r="Z24" s="83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6"/>
      <c r="C25" s="27"/>
      <c r="D25" s="28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9"/>
      <c r="R25" s="29"/>
      <c r="S25" s="29"/>
      <c r="T25" s="29"/>
      <c r="U25" s="29"/>
      <c r="V25" s="29"/>
      <c r="W25" s="22"/>
      <c r="X25" s="22"/>
      <c r="Y25" s="22"/>
      <c r="Z25" s="83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9"/>
      <c r="R26" s="29"/>
      <c r="S26" s="29"/>
      <c r="T26" s="29"/>
      <c r="U26" s="29"/>
      <c r="V26" s="29"/>
      <c r="W26" s="22"/>
      <c r="X26" s="22"/>
      <c r="Y26" s="22"/>
      <c r="Z26" s="83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9"/>
      <c r="R27" s="29"/>
      <c r="S27" s="29"/>
      <c r="T27" s="29"/>
      <c r="U27" s="29"/>
      <c r="V27" s="29"/>
      <c r="W27" s="22"/>
      <c r="X27" s="22"/>
      <c r="Y27" s="22"/>
      <c r="Z27" s="83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9"/>
      <c r="R28" s="29"/>
      <c r="S28" s="29"/>
      <c r="T28" s="29"/>
      <c r="U28" s="29"/>
      <c r="V28" s="29"/>
      <c r="W28" s="22"/>
      <c r="X28" s="22"/>
      <c r="Y28" s="22"/>
      <c r="Z28" s="83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9"/>
      <c r="R29" s="29"/>
      <c r="S29" s="29"/>
      <c r="T29" s="29"/>
      <c r="U29" s="29"/>
      <c r="V29" s="29"/>
      <c r="W29" s="22"/>
      <c r="X29" s="22"/>
      <c r="Y29" s="22"/>
      <c r="Z29" s="83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9"/>
      <c r="R30" s="29"/>
      <c r="S30" s="29"/>
      <c r="T30" s="29"/>
      <c r="U30" s="29"/>
      <c r="V30" s="29"/>
      <c r="W30" s="22"/>
      <c r="X30" s="22"/>
      <c r="Y30" s="22"/>
      <c r="Z30" s="83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9"/>
      <c r="R31" s="29"/>
      <c r="S31" s="29"/>
      <c r="T31" s="29"/>
      <c r="U31" s="29"/>
      <c r="V31" s="29"/>
      <c r="W31" s="22"/>
      <c r="X31" s="22"/>
      <c r="Y31" s="22"/>
      <c r="Z31" s="83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9"/>
      <c r="R32" s="29"/>
      <c r="S32" s="29"/>
      <c r="T32" s="29"/>
      <c r="U32" s="29"/>
      <c r="V32" s="29"/>
      <c r="W32" s="22"/>
      <c r="X32" s="22"/>
      <c r="Y32" s="22"/>
      <c r="Z32" s="83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9"/>
      <c r="R33" s="29"/>
      <c r="S33" s="29"/>
      <c r="T33" s="29"/>
      <c r="U33" s="29"/>
      <c r="V33" s="29"/>
      <c r="W33" s="22"/>
      <c r="X33" s="22"/>
      <c r="Y33" s="22"/>
      <c r="Z33" s="8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9"/>
      <c r="R34" s="29"/>
      <c r="S34" s="29"/>
      <c r="T34" s="29"/>
      <c r="U34" s="29"/>
      <c r="V34" s="29"/>
      <c r="W34" s="22"/>
      <c r="X34" s="22"/>
      <c r="Y34" s="22"/>
      <c r="Z34" s="83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9"/>
      <c r="R35" s="29"/>
      <c r="S35" s="29"/>
      <c r="T35" s="29"/>
      <c r="U35" s="29"/>
      <c r="V35" s="29"/>
      <c r="W35" s="22"/>
      <c r="X35" s="22"/>
      <c r="Y35" s="22"/>
      <c r="Z35" s="83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9"/>
      <c r="R36" s="29"/>
      <c r="S36" s="29"/>
      <c r="T36" s="29"/>
      <c r="U36" s="29"/>
      <c r="V36" s="29"/>
      <c r="W36" s="22"/>
      <c r="X36" s="22"/>
      <c r="Y36" s="22"/>
      <c r="Z36" s="83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9"/>
      <c r="R37" s="29"/>
      <c r="S37" s="29"/>
      <c r="T37" s="29"/>
      <c r="U37" s="29"/>
      <c r="V37" s="29"/>
      <c r="W37" s="22"/>
      <c r="X37" s="22"/>
      <c r="Y37" s="22"/>
      <c r="Z37" s="83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9"/>
      <c r="R38" s="29"/>
      <c r="S38" s="29"/>
      <c r="T38" s="29"/>
      <c r="U38" s="29"/>
      <c r="V38" s="29"/>
      <c r="W38" s="22"/>
      <c r="X38" s="22"/>
      <c r="Y38" s="22"/>
      <c r="Z38" s="83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9"/>
      <c r="R39" s="29"/>
      <c r="S39" s="29"/>
      <c r="T39" s="29"/>
      <c r="U39" s="29"/>
      <c r="V39" s="29"/>
      <c r="W39" s="22"/>
      <c r="X39" s="22"/>
      <c r="Y39" s="22"/>
      <c r="Z39" s="83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9"/>
      <c r="R40" s="29"/>
      <c r="S40" s="29"/>
      <c r="T40" s="29"/>
      <c r="U40" s="29"/>
      <c r="V40" s="29"/>
      <c r="W40" s="22"/>
      <c r="X40" s="22"/>
      <c r="Y40" s="22"/>
      <c r="Z40" s="83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29"/>
      <c r="S41" s="29"/>
      <c r="T41" s="29"/>
      <c r="U41" s="29"/>
      <c r="V41" s="29"/>
      <c r="W41" s="22"/>
      <c r="X41" s="22"/>
      <c r="Y41" s="22"/>
      <c r="Z41" s="83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29"/>
      <c r="S42" s="29"/>
      <c r="T42" s="29"/>
      <c r="U42" s="29"/>
      <c r="V42" s="29"/>
      <c r="W42" s="22"/>
      <c r="X42" s="22"/>
      <c r="Y42" s="22"/>
      <c r="Z42" s="83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9"/>
      <c r="R43" s="29"/>
      <c r="S43" s="29"/>
      <c r="T43" s="29"/>
      <c r="U43" s="29"/>
      <c r="V43" s="29"/>
      <c r="W43" s="22"/>
      <c r="X43" s="22"/>
      <c r="Y43" s="22"/>
      <c r="Z43" s="8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9"/>
      <c r="R44" s="29"/>
      <c r="S44" s="29"/>
      <c r="T44" s="29"/>
      <c r="U44" s="29"/>
      <c r="V44" s="29"/>
      <c r="W44" s="22"/>
      <c r="X44" s="22"/>
      <c r="Y44" s="22"/>
      <c r="Z44" s="83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9"/>
      <c r="R45" s="29"/>
      <c r="S45" s="29"/>
      <c r="T45" s="29"/>
      <c r="U45" s="29"/>
      <c r="V45" s="29"/>
      <c r="W45" s="22"/>
      <c r="X45" s="22"/>
      <c r="Y45" s="22"/>
      <c r="Z45" s="83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9"/>
      <c r="R46" s="29"/>
      <c r="S46" s="29"/>
      <c r="T46" s="29"/>
      <c r="U46" s="29"/>
      <c r="V46" s="29"/>
      <c r="W46" s="22"/>
      <c r="X46" s="22"/>
      <c r="Y46" s="22"/>
      <c r="Z46" s="83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9"/>
      <c r="R47" s="29"/>
      <c r="S47" s="29"/>
      <c r="T47" s="29"/>
      <c r="U47" s="29"/>
      <c r="V47" s="29"/>
      <c r="W47" s="22"/>
      <c r="X47" s="22"/>
      <c r="Y47" s="22"/>
      <c r="Z47" s="83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9"/>
      <c r="R48" s="29"/>
      <c r="S48" s="29"/>
      <c r="T48" s="29"/>
      <c r="U48" s="29"/>
      <c r="V48" s="29"/>
      <c r="W48" s="22"/>
      <c r="X48" s="22"/>
      <c r="Y48" s="22"/>
      <c r="Z48" s="83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9"/>
      <c r="R49" s="29"/>
      <c r="S49" s="29"/>
      <c r="T49" s="29"/>
      <c r="U49" s="29"/>
      <c r="V49" s="29"/>
      <c r="W49" s="22"/>
      <c r="X49" s="22"/>
      <c r="Y49" s="22"/>
      <c r="Z49" s="83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9"/>
      <c r="R50" s="29"/>
      <c r="S50" s="29"/>
      <c r="T50" s="29"/>
      <c r="U50" s="29"/>
      <c r="V50" s="29"/>
      <c r="W50" s="22"/>
      <c r="X50" s="22"/>
      <c r="Y50" s="22"/>
      <c r="Z50" s="83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9"/>
      <c r="R51" s="29"/>
      <c r="S51" s="29"/>
      <c r="T51" s="29"/>
      <c r="U51" s="29"/>
      <c r="V51" s="29"/>
      <c r="W51" s="22"/>
      <c r="X51" s="22"/>
      <c r="Y51" s="22"/>
      <c r="Z51" s="83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9"/>
      <c r="R52" s="29"/>
      <c r="S52" s="29"/>
      <c r="T52" s="29"/>
      <c r="U52" s="29"/>
      <c r="V52" s="29"/>
      <c r="W52" s="22"/>
      <c r="X52" s="22"/>
      <c r="Y52" s="22"/>
      <c r="Z52" s="83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9"/>
      <c r="R53" s="29"/>
      <c r="S53" s="29"/>
      <c r="T53" s="29"/>
      <c r="U53" s="29"/>
      <c r="V53" s="29"/>
      <c r="W53" s="22"/>
      <c r="X53" s="22"/>
      <c r="Y53" s="22"/>
      <c r="Z53" s="8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9"/>
      <c r="R54" s="29"/>
      <c r="S54" s="29"/>
      <c r="T54" s="29"/>
      <c r="U54" s="29"/>
      <c r="V54" s="29"/>
      <c r="W54" s="22"/>
      <c r="X54" s="22"/>
      <c r="Y54" s="22"/>
      <c r="Z54" s="83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9"/>
      <c r="R55" s="29"/>
      <c r="S55" s="29"/>
      <c r="T55" s="29"/>
      <c r="U55" s="29"/>
      <c r="V55" s="29"/>
      <c r="W55" s="22"/>
      <c r="X55" s="22"/>
      <c r="Y55" s="22"/>
      <c r="Z55" s="83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9"/>
      <c r="R56" s="29"/>
      <c r="S56" s="29"/>
      <c r="T56" s="29"/>
      <c r="U56" s="29"/>
      <c r="V56" s="29"/>
      <c r="W56" s="22"/>
      <c r="X56" s="22"/>
      <c r="Y56" s="22"/>
      <c r="Z56" s="83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9"/>
      <c r="R57" s="29"/>
      <c r="S57" s="29"/>
      <c r="T57" s="29"/>
      <c r="U57" s="29"/>
      <c r="V57" s="29"/>
      <c r="W57" s="22"/>
      <c r="X57" s="22"/>
      <c r="Y57" s="22"/>
      <c r="Z57" s="83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9"/>
      <c r="R58" s="29"/>
      <c r="S58" s="29"/>
      <c r="T58" s="29"/>
      <c r="U58" s="29"/>
      <c r="V58" s="29"/>
      <c r="W58" s="22"/>
      <c r="X58" s="22"/>
      <c r="Y58" s="22"/>
      <c r="Z58" s="83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29"/>
      <c r="S59" s="29"/>
      <c r="T59" s="29"/>
      <c r="U59" s="29"/>
      <c r="V59" s="29"/>
      <c r="W59" s="22"/>
      <c r="X59" s="22"/>
      <c r="Y59" s="22"/>
      <c r="Z59" s="83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9"/>
      <c r="R60" s="29"/>
      <c r="S60" s="29"/>
      <c r="T60" s="29"/>
      <c r="U60" s="29"/>
      <c r="V60" s="29"/>
      <c r="W60" s="22"/>
      <c r="X60" s="22"/>
      <c r="Y60" s="22"/>
      <c r="Z60" s="83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9"/>
      <c r="R61" s="29"/>
      <c r="S61" s="29"/>
      <c r="T61" s="29"/>
      <c r="U61" s="29"/>
      <c r="V61" s="29"/>
      <c r="W61" s="22"/>
      <c r="X61" s="22"/>
      <c r="Y61" s="22"/>
      <c r="Z61" s="83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9"/>
      <c r="R62" s="29"/>
      <c r="S62" s="29"/>
      <c r="T62" s="29"/>
      <c r="U62" s="29"/>
      <c r="V62" s="29"/>
      <c r="W62" s="22"/>
      <c r="X62" s="22"/>
      <c r="Y62" s="22"/>
      <c r="Z62" s="83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9"/>
      <c r="R63" s="29"/>
      <c r="S63" s="29"/>
      <c r="T63" s="29"/>
      <c r="U63" s="29"/>
      <c r="V63" s="29"/>
      <c r="W63" s="22"/>
      <c r="X63" s="22"/>
      <c r="Y63" s="22"/>
      <c r="Z63" s="8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9"/>
      <c r="R64" s="29"/>
      <c r="S64" s="29"/>
      <c r="T64" s="29"/>
      <c r="U64" s="29"/>
      <c r="V64" s="29"/>
      <c r="W64" s="22"/>
      <c r="X64" s="22"/>
      <c r="Y64" s="22"/>
      <c r="Z64" s="83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9"/>
      <c r="R65" s="29"/>
      <c r="S65" s="29"/>
      <c r="T65" s="29"/>
      <c r="U65" s="29"/>
      <c r="V65" s="29"/>
      <c r="W65" s="22"/>
      <c r="X65" s="22"/>
      <c r="Y65" s="22"/>
      <c r="Z65" s="83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9"/>
      <c r="R66" s="29"/>
      <c r="S66" s="29"/>
      <c r="T66" s="29"/>
      <c r="U66" s="29"/>
      <c r="V66" s="29"/>
      <c r="W66" s="22"/>
      <c r="X66" s="22"/>
      <c r="Y66" s="22"/>
      <c r="Z66" s="83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9"/>
      <c r="R67" s="29"/>
      <c r="S67" s="29"/>
      <c r="T67" s="29"/>
      <c r="U67" s="29"/>
      <c r="V67" s="29"/>
      <c r="W67" s="22"/>
      <c r="X67" s="22"/>
      <c r="Y67" s="22"/>
      <c r="Z67" s="83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9"/>
      <c r="R68" s="29"/>
      <c r="S68" s="29"/>
      <c r="T68" s="29"/>
      <c r="U68" s="29"/>
      <c r="V68" s="29"/>
      <c r="W68" s="22"/>
      <c r="X68" s="22"/>
      <c r="Y68" s="22"/>
      <c r="Z68" s="83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9"/>
      <c r="R69" s="29"/>
      <c r="S69" s="29"/>
      <c r="T69" s="29"/>
      <c r="U69" s="29"/>
      <c r="V69" s="29"/>
      <c r="W69" s="22"/>
      <c r="X69" s="22"/>
      <c r="Y69" s="22"/>
      <c r="Z69" s="83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9"/>
      <c r="R70" s="29"/>
      <c r="S70" s="29"/>
      <c r="T70" s="29"/>
      <c r="U70" s="29"/>
      <c r="V70" s="29"/>
      <c r="W70" s="22"/>
      <c r="X70" s="22"/>
      <c r="Y70" s="22"/>
      <c r="Z70" s="83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9"/>
      <c r="R71" s="29"/>
      <c r="S71" s="29"/>
      <c r="T71" s="29"/>
      <c r="U71" s="29"/>
      <c r="V71" s="29"/>
      <c r="W71" s="22"/>
      <c r="X71" s="22"/>
      <c r="Y71" s="22"/>
      <c r="Z71" s="83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9"/>
      <c r="R72" s="29"/>
      <c r="S72" s="29"/>
      <c r="T72" s="29"/>
      <c r="U72" s="29"/>
      <c r="V72" s="29"/>
      <c r="W72" s="22"/>
      <c r="X72" s="22"/>
      <c r="Y72" s="22"/>
      <c r="Z72" s="83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9"/>
      <c r="R73" s="29"/>
      <c r="S73" s="29"/>
      <c r="T73" s="29"/>
      <c r="U73" s="29"/>
      <c r="V73" s="29"/>
      <c r="W73" s="22"/>
      <c r="X73" s="22"/>
      <c r="Y73" s="22"/>
      <c r="Z73" s="8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9"/>
      <c r="R74" s="29"/>
      <c r="S74" s="29"/>
      <c r="T74" s="29"/>
      <c r="U74" s="29"/>
      <c r="V74" s="29"/>
      <c r="W74" s="22"/>
      <c r="X74" s="22"/>
      <c r="Y74" s="22"/>
      <c r="Z74" s="83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9"/>
      <c r="R75" s="29"/>
      <c r="S75" s="29"/>
      <c r="T75" s="29"/>
      <c r="U75" s="29"/>
      <c r="V75" s="29"/>
      <c r="W75" s="22"/>
      <c r="X75" s="22"/>
      <c r="Y75" s="22"/>
      <c r="Z75" s="83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9"/>
      <c r="R76" s="29"/>
      <c r="S76" s="29"/>
      <c r="T76" s="29"/>
      <c r="U76" s="29"/>
      <c r="V76" s="29"/>
      <c r="W76" s="22"/>
      <c r="X76" s="22"/>
      <c r="Y76" s="22"/>
      <c r="Z76" s="83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9"/>
      <c r="R77" s="29"/>
      <c r="S77" s="29"/>
      <c r="T77" s="29"/>
      <c r="U77" s="29"/>
      <c r="V77" s="29"/>
      <c r="W77" s="22"/>
      <c r="X77" s="22"/>
      <c r="Y77" s="22"/>
      <c r="Z77" s="83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9"/>
      <c r="R78" s="29"/>
      <c r="S78" s="29"/>
      <c r="T78" s="29"/>
      <c r="U78" s="29"/>
      <c r="V78" s="29"/>
      <c r="W78" s="22"/>
      <c r="X78" s="22"/>
      <c r="Y78" s="22"/>
      <c r="Z78" s="83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9"/>
      <c r="R79" s="29"/>
      <c r="S79" s="29"/>
      <c r="T79" s="29"/>
      <c r="U79" s="29"/>
      <c r="V79" s="29"/>
      <c r="W79" s="22"/>
      <c r="X79" s="22"/>
      <c r="Y79" s="22"/>
      <c r="Z79" s="83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9"/>
      <c r="R80" s="29"/>
      <c r="S80" s="29"/>
      <c r="T80" s="29"/>
      <c r="U80" s="29"/>
      <c r="V80" s="29"/>
      <c r="W80" s="22"/>
      <c r="X80" s="22"/>
      <c r="Y80" s="22"/>
      <c r="Z80" s="83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9"/>
      <c r="R81" s="29"/>
      <c r="S81" s="29"/>
      <c r="T81" s="29"/>
      <c r="U81" s="29"/>
      <c r="V81" s="29"/>
      <c r="W81" s="22"/>
      <c r="X81" s="22"/>
      <c r="Y81" s="22"/>
      <c r="Z81" s="83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9"/>
      <c r="R82" s="29"/>
      <c r="S82" s="29"/>
      <c r="T82" s="29"/>
      <c r="U82" s="29"/>
      <c r="V82" s="29"/>
      <c r="W82" s="22"/>
      <c r="X82" s="22"/>
      <c r="Y82" s="22"/>
      <c r="Z82" s="83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9"/>
      <c r="R83" s="29"/>
      <c r="S83" s="29"/>
      <c r="T83" s="29"/>
      <c r="U83" s="29"/>
      <c r="V83" s="29"/>
      <c r="W83" s="22"/>
      <c r="X83" s="22"/>
      <c r="Y83" s="22"/>
      <c r="Z83" s="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9"/>
      <c r="R84" s="29"/>
      <c r="S84" s="29"/>
      <c r="T84" s="29"/>
      <c r="U84" s="29"/>
      <c r="V84" s="29"/>
      <c r="W84" s="22"/>
      <c r="X84" s="22"/>
      <c r="Y84" s="22"/>
      <c r="Z84" s="83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9"/>
      <c r="R85" s="29"/>
      <c r="S85" s="29"/>
      <c r="T85" s="29"/>
      <c r="U85" s="29"/>
      <c r="V85" s="29"/>
      <c r="W85" s="22"/>
      <c r="X85" s="22"/>
      <c r="Y85" s="22"/>
      <c r="Z85" s="83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9"/>
      <c r="R86" s="29"/>
      <c r="S86" s="29"/>
      <c r="T86" s="29"/>
      <c r="U86" s="29"/>
      <c r="V86" s="29"/>
      <c r="W86" s="22"/>
      <c r="X86" s="22"/>
      <c r="Y86" s="22"/>
      <c r="Z86" s="83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9"/>
      <c r="R87" s="29"/>
      <c r="S87" s="29"/>
      <c r="T87" s="29"/>
      <c r="U87" s="29"/>
      <c r="V87" s="29"/>
      <c r="W87" s="22"/>
      <c r="X87" s="22"/>
      <c r="Y87" s="22"/>
      <c r="Z87" s="83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9"/>
      <c r="R88" s="29"/>
      <c r="S88" s="29"/>
      <c r="T88" s="29"/>
      <c r="U88" s="29"/>
      <c r="V88" s="29"/>
      <c r="W88" s="22"/>
      <c r="X88" s="22"/>
      <c r="Y88" s="22"/>
      <c r="Z88" s="83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9"/>
      <c r="R89" s="29"/>
      <c r="S89" s="29"/>
      <c r="T89" s="29"/>
      <c r="U89" s="29"/>
      <c r="V89" s="29"/>
      <c r="W89" s="22"/>
      <c r="X89" s="22"/>
      <c r="Y89" s="22"/>
      <c r="Z89" s="83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9"/>
      <c r="R90" s="29"/>
      <c r="S90" s="29"/>
      <c r="T90" s="29"/>
      <c r="U90" s="29"/>
      <c r="V90" s="29"/>
      <c r="W90" s="22"/>
      <c r="X90" s="22"/>
      <c r="Y90" s="22"/>
      <c r="Z90" s="83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9"/>
      <c r="R91" s="29"/>
      <c r="S91" s="29"/>
      <c r="T91" s="29"/>
      <c r="U91" s="29"/>
      <c r="V91" s="29"/>
      <c r="W91" s="22"/>
      <c r="X91" s="22"/>
      <c r="Y91" s="22"/>
      <c r="Z91" s="83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9"/>
      <c r="R92" s="29"/>
      <c r="S92" s="29"/>
      <c r="T92" s="29"/>
      <c r="U92" s="29"/>
      <c r="V92" s="29"/>
      <c r="W92" s="22"/>
      <c r="X92" s="22"/>
      <c r="Y92" s="22"/>
      <c r="Z92" s="83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9"/>
      <c r="R93" s="29"/>
      <c r="S93" s="29"/>
      <c r="T93" s="29"/>
      <c r="U93" s="29"/>
      <c r="V93" s="29"/>
      <c r="W93" s="22"/>
      <c r="X93" s="22"/>
      <c r="Y93" s="22"/>
      <c r="Z93" s="8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9"/>
      <c r="R94" s="29"/>
      <c r="S94" s="29"/>
      <c r="T94" s="29"/>
      <c r="U94" s="29"/>
      <c r="V94" s="29"/>
      <c r="W94" s="22"/>
      <c r="X94" s="22"/>
      <c r="Y94" s="22"/>
      <c r="Z94" s="83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9"/>
      <c r="R95" s="29"/>
      <c r="S95" s="29"/>
      <c r="T95" s="29"/>
      <c r="U95" s="29"/>
      <c r="V95" s="29"/>
      <c r="W95" s="22"/>
      <c r="X95" s="22"/>
      <c r="Y95" s="22"/>
      <c r="Z95" s="83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29"/>
      <c r="S96" s="29"/>
      <c r="T96" s="29"/>
      <c r="U96" s="29"/>
      <c r="V96" s="29"/>
      <c r="W96" s="22"/>
      <c r="X96" s="22"/>
      <c r="Y96" s="22"/>
      <c r="Z96" s="83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9"/>
      <c r="R97" s="29"/>
      <c r="S97" s="29"/>
      <c r="T97" s="29"/>
      <c r="U97" s="29"/>
      <c r="V97" s="29"/>
      <c r="W97" s="22"/>
      <c r="X97" s="22"/>
      <c r="Y97" s="22"/>
      <c r="Z97" s="83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9"/>
      <c r="R98" s="29"/>
      <c r="S98" s="29"/>
      <c r="T98" s="29"/>
      <c r="U98" s="29"/>
      <c r="V98" s="29"/>
      <c r="W98" s="22"/>
      <c r="X98" s="22"/>
      <c r="Y98" s="22"/>
      <c r="Z98" s="83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9"/>
      <c r="R99" s="29"/>
      <c r="S99" s="29"/>
      <c r="T99" s="29"/>
      <c r="U99" s="29"/>
      <c r="V99" s="29"/>
      <c r="W99" s="22"/>
      <c r="X99" s="22"/>
      <c r="Y99" s="22"/>
      <c r="Z99" s="83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9"/>
      <c r="R100" s="29"/>
      <c r="S100" s="29"/>
      <c r="T100" s="29"/>
      <c r="U100" s="29"/>
      <c r="V100" s="29"/>
      <c r="W100" s="22"/>
      <c r="X100" s="22"/>
      <c r="Y100" s="22"/>
      <c r="Z100" s="83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9"/>
      <c r="R101" s="29"/>
      <c r="S101" s="29"/>
      <c r="T101" s="29"/>
      <c r="U101" s="29"/>
      <c r="V101" s="29"/>
      <c r="W101" s="22"/>
      <c r="X101" s="22"/>
      <c r="Y101" s="22"/>
      <c r="Z101" s="83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9"/>
      <c r="R102" s="29"/>
      <c r="S102" s="29"/>
      <c r="T102" s="29"/>
      <c r="U102" s="29"/>
      <c r="V102" s="29"/>
      <c r="W102" s="22"/>
      <c r="X102" s="22"/>
      <c r="Y102" s="22"/>
      <c r="Z102" s="83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9"/>
      <c r="R103" s="29"/>
      <c r="S103" s="29"/>
      <c r="T103" s="29"/>
      <c r="U103" s="29"/>
      <c r="V103" s="29"/>
      <c r="W103" s="22"/>
      <c r="X103" s="22"/>
      <c r="Y103" s="22"/>
      <c r="Z103" s="8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9"/>
      <c r="R104" s="29"/>
      <c r="S104" s="29"/>
      <c r="T104" s="29"/>
      <c r="U104" s="29"/>
      <c r="V104" s="29"/>
      <c r="W104" s="22"/>
      <c r="X104" s="22"/>
      <c r="Y104" s="22"/>
      <c r="Z104" s="83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9"/>
      <c r="R105" s="29"/>
      <c r="S105" s="29"/>
      <c r="T105" s="29"/>
      <c r="U105" s="29"/>
      <c r="V105" s="29"/>
      <c r="W105" s="22"/>
      <c r="X105" s="22"/>
      <c r="Y105" s="22"/>
      <c r="Z105" s="83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9"/>
      <c r="R106" s="29"/>
      <c r="S106" s="29"/>
      <c r="T106" s="29"/>
      <c r="U106" s="29"/>
      <c r="V106" s="29"/>
      <c r="W106" s="22"/>
      <c r="X106" s="22"/>
      <c r="Y106" s="22"/>
      <c r="Z106" s="83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9"/>
      <c r="R107" s="29"/>
      <c r="S107" s="29"/>
      <c r="T107" s="29"/>
      <c r="U107" s="29"/>
      <c r="V107" s="29"/>
      <c r="W107" s="22"/>
      <c r="X107" s="22"/>
      <c r="Y107" s="22"/>
      <c r="Z107" s="83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99"/>
      <c r="R108" s="29"/>
      <c r="S108" s="29"/>
      <c r="T108" s="29"/>
      <c r="U108" s="29"/>
      <c r="V108" s="29"/>
      <c r="W108" s="22"/>
      <c r="X108" s="22"/>
      <c r="Y108" s="22"/>
      <c r="Z108" s="83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9"/>
      <c r="R109" s="29"/>
      <c r="S109" s="29"/>
      <c r="T109" s="29"/>
      <c r="U109" s="29"/>
      <c r="V109" s="29"/>
      <c r="W109" s="22"/>
      <c r="X109" s="22"/>
      <c r="Y109" s="22"/>
      <c r="Z109" s="83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9"/>
      <c r="R110" s="29"/>
      <c r="S110" s="29"/>
      <c r="T110" s="29"/>
      <c r="U110" s="29"/>
      <c r="V110" s="29"/>
      <c r="W110" s="22"/>
      <c r="X110" s="22"/>
      <c r="Y110" s="22"/>
      <c r="Z110" s="83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9"/>
      <c r="R111" s="29"/>
      <c r="S111" s="29"/>
      <c r="T111" s="29"/>
      <c r="U111" s="29"/>
      <c r="V111" s="29"/>
      <c r="W111" s="22"/>
      <c r="X111" s="22"/>
      <c r="Y111" s="22"/>
      <c r="Z111" s="83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9"/>
      <c r="R112" s="29"/>
      <c r="S112" s="29"/>
      <c r="T112" s="29"/>
      <c r="U112" s="29"/>
      <c r="V112" s="29"/>
      <c r="W112" s="22"/>
      <c r="X112" s="22"/>
      <c r="Y112" s="22"/>
      <c r="Z112" s="83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9"/>
      <c r="R113" s="29"/>
      <c r="S113" s="29"/>
      <c r="T113" s="29"/>
      <c r="U113" s="29"/>
      <c r="V113" s="29"/>
      <c r="W113" s="22"/>
      <c r="X113" s="22"/>
      <c r="Y113" s="22"/>
      <c r="Z113" s="8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9"/>
      <c r="R114" s="29"/>
      <c r="S114" s="29"/>
      <c r="T114" s="29"/>
      <c r="U114" s="29"/>
      <c r="V114" s="29"/>
      <c r="W114" s="22"/>
      <c r="X114" s="22"/>
      <c r="Y114" s="22"/>
      <c r="Z114" s="83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9"/>
      <c r="R115" s="29"/>
      <c r="S115" s="29"/>
      <c r="T115" s="29"/>
      <c r="U115" s="29"/>
      <c r="V115" s="29"/>
      <c r="W115" s="22"/>
      <c r="X115" s="22"/>
      <c r="Y115" s="22"/>
      <c r="Z115" s="83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9"/>
      <c r="F116" s="19"/>
      <c r="G116" s="17"/>
      <c r="H116" s="17"/>
      <c r="I116" s="19"/>
      <c r="J116" s="19"/>
      <c r="K116" s="19"/>
      <c r="L116" s="19"/>
      <c r="M116" s="19"/>
      <c r="N116" s="19"/>
      <c r="O116" s="19"/>
      <c r="P116" s="19"/>
      <c r="Q116" s="94"/>
      <c r="R116" s="20"/>
      <c r="S116" s="20"/>
      <c r="T116" s="20"/>
      <c r="U116" s="21"/>
      <c r="V116" s="20"/>
      <c r="Z116" s="83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94"/>
      <c r="R117" s="20"/>
      <c r="S117" s="20"/>
      <c r="T117" s="20"/>
      <c r="U117" s="21"/>
      <c r="V117" s="20"/>
      <c r="Z117" s="83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94"/>
      <c r="R118" s="20"/>
      <c r="S118" s="20"/>
      <c r="T118" s="20"/>
      <c r="U118" s="21"/>
      <c r="V118" s="20"/>
      <c r="Z118" s="83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94"/>
      <c r="R119" s="20"/>
      <c r="S119" s="20"/>
      <c r="T119" s="20"/>
      <c r="U119" s="21"/>
      <c r="V119" s="20"/>
      <c r="Z119" s="83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94"/>
      <c r="R120" s="20"/>
      <c r="S120" s="20"/>
      <c r="T120" s="20"/>
      <c r="U120" s="21"/>
      <c r="V120" s="20"/>
      <c r="Z120" s="83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94"/>
      <c r="R121" s="20"/>
      <c r="S121" s="20"/>
      <c r="T121" s="20"/>
      <c r="U121" s="21"/>
      <c r="V121" s="20"/>
      <c r="Z121" s="83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94"/>
      <c r="R122" s="20"/>
      <c r="S122" s="20"/>
      <c r="T122" s="20"/>
      <c r="U122" s="21"/>
      <c r="V122" s="20"/>
      <c r="Z122" s="83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94"/>
      <c r="R123" s="20"/>
      <c r="S123" s="20"/>
      <c r="T123" s="20"/>
      <c r="U123" s="20"/>
      <c r="V123" s="20"/>
      <c r="Z123" s="8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94"/>
      <c r="R124" s="20"/>
      <c r="S124" s="20"/>
      <c r="T124" s="20"/>
      <c r="U124" s="20"/>
      <c r="V124" s="20"/>
      <c r="Z124" s="83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94"/>
      <c r="R125" s="20"/>
      <c r="S125" s="20"/>
      <c r="T125" s="20"/>
      <c r="U125" s="20"/>
      <c r="V125" s="20"/>
      <c r="Z125" s="83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94"/>
      <c r="R126" s="20"/>
      <c r="S126" s="20"/>
      <c r="T126" s="20"/>
      <c r="U126" s="20"/>
      <c r="V126" s="20"/>
      <c r="Z126" s="83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94"/>
      <c r="R127" s="20"/>
      <c r="S127" s="20"/>
      <c r="T127" s="20"/>
      <c r="U127" s="20"/>
      <c r="V127" s="20"/>
      <c r="Z127" s="83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94"/>
      <c r="R128" s="20"/>
      <c r="S128" s="20"/>
      <c r="T128" s="20"/>
      <c r="U128" s="20"/>
      <c r="V128" s="20"/>
      <c r="Z128" s="83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94"/>
      <c r="R129" s="20"/>
      <c r="S129" s="20"/>
      <c r="T129" s="20"/>
      <c r="U129" s="20"/>
      <c r="V129" s="20"/>
      <c r="Z129" s="83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94"/>
      <c r="R130" s="20"/>
      <c r="S130" s="20"/>
      <c r="T130" s="20"/>
      <c r="U130" s="20"/>
      <c r="V130" s="20"/>
      <c r="Z130" s="83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94"/>
      <c r="R131" s="20"/>
      <c r="S131" s="20"/>
      <c r="T131" s="20"/>
      <c r="U131" s="20"/>
      <c r="V131" s="20"/>
      <c r="Z131" s="83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94"/>
      <c r="R132" s="20"/>
      <c r="S132" s="20"/>
      <c r="T132" s="20"/>
      <c r="U132" s="20"/>
      <c r="V132" s="20"/>
      <c r="Z132" s="83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94"/>
      <c r="R133" s="20"/>
      <c r="S133" s="20"/>
      <c r="T133" s="20"/>
      <c r="U133" s="20"/>
      <c r="V133" s="20"/>
      <c r="Z133" s="8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94"/>
      <c r="R134" s="20"/>
      <c r="S134" s="20"/>
      <c r="T134" s="20"/>
      <c r="U134" s="20"/>
      <c r="V134" s="20"/>
      <c r="Z134" s="83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94"/>
      <c r="R135" s="20"/>
      <c r="S135" s="20"/>
      <c r="T135" s="20"/>
      <c r="U135" s="20"/>
      <c r="V135" s="20"/>
      <c r="Z135" s="83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94"/>
      <c r="R136" s="20"/>
      <c r="S136" s="20"/>
      <c r="T136" s="20"/>
      <c r="U136" s="20"/>
      <c r="V136" s="20"/>
      <c r="Z136" s="83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94"/>
      <c r="R137" s="20"/>
      <c r="S137" s="20"/>
      <c r="T137" s="20"/>
      <c r="U137" s="20"/>
      <c r="V137" s="20"/>
      <c r="Z137" s="83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94"/>
      <c r="R138" s="20"/>
      <c r="S138" s="20"/>
      <c r="T138" s="20"/>
      <c r="U138" s="20"/>
      <c r="V138" s="20"/>
      <c r="Z138" s="83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94"/>
      <c r="R139" s="20"/>
      <c r="S139" s="20"/>
      <c r="T139" s="20"/>
      <c r="U139" s="21"/>
      <c r="V139" s="20"/>
      <c r="Z139" s="83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94"/>
      <c r="R140" s="20"/>
      <c r="S140" s="20"/>
      <c r="T140" s="20"/>
      <c r="U140" s="21"/>
      <c r="V140" s="20"/>
      <c r="Z140" s="83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94"/>
      <c r="R141" s="20"/>
      <c r="S141" s="20"/>
      <c r="T141" s="20"/>
      <c r="U141" s="21"/>
      <c r="V141" s="20"/>
      <c r="Z141" s="83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94"/>
      <c r="R142" s="20"/>
      <c r="S142" s="20"/>
      <c r="T142" s="20"/>
      <c r="U142" s="21"/>
      <c r="V142" s="20"/>
      <c r="Z142" s="83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94"/>
      <c r="R143" s="20"/>
      <c r="S143" s="20"/>
      <c r="T143" s="20"/>
      <c r="U143" s="21"/>
      <c r="V143" s="20"/>
      <c r="Z143" s="8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94"/>
      <c r="R144" s="20"/>
      <c r="S144" s="20"/>
      <c r="T144" s="20"/>
      <c r="U144" s="21"/>
      <c r="V144" s="20"/>
      <c r="Z144" s="83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94"/>
      <c r="R145" s="20"/>
      <c r="S145" s="20"/>
      <c r="T145" s="20"/>
      <c r="U145" s="21"/>
      <c r="V145" s="20"/>
      <c r="Z145" s="83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94"/>
      <c r="R146" s="20"/>
      <c r="S146" s="20"/>
      <c r="T146" s="20"/>
      <c r="U146" s="20"/>
      <c r="V146" s="20"/>
      <c r="Z146" s="83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94"/>
      <c r="R147" s="20"/>
      <c r="S147" s="20"/>
      <c r="T147" s="20"/>
      <c r="U147" s="20"/>
      <c r="V147" s="20"/>
      <c r="Z147" s="83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94"/>
      <c r="R148" s="20"/>
      <c r="S148" s="20"/>
      <c r="T148" s="20"/>
      <c r="U148" s="20"/>
      <c r="V148" s="20"/>
      <c r="Z148" s="83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94"/>
      <c r="R149" s="20"/>
      <c r="S149" s="20"/>
      <c r="T149" s="20"/>
      <c r="U149" s="20"/>
      <c r="V149" s="20"/>
      <c r="Z149" s="83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94"/>
      <c r="R150" s="20"/>
      <c r="S150" s="20"/>
      <c r="T150" s="20"/>
      <c r="U150" s="20"/>
      <c r="V150" s="20"/>
      <c r="Z150" s="83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94"/>
      <c r="R151" s="20"/>
      <c r="S151" s="20"/>
      <c r="T151" s="20"/>
      <c r="U151" s="20"/>
      <c r="V151" s="20"/>
      <c r="Z151" s="83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94"/>
      <c r="R152" s="20"/>
      <c r="S152" s="20"/>
      <c r="T152" s="20"/>
      <c r="U152" s="20"/>
      <c r="V152" s="20"/>
      <c r="Z152" s="83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94"/>
      <c r="R153" s="20"/>
      <c r="S153" s="20"/>
      <c r="T153" s="20"/>
      <c r="U153" s="20"/>
      <c r="V153" s="20"/>
      <c r="Z153" s="8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94"/>
      <c r="R154" s="20"/>
      <c r="S154" s="20"/>
      <c r="T154" s="20"/>
      <c r="U154" s="20"/>
      <c r="V154" s="20"/>
      <c r="Z154" s="83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94"/>
      <c r="R155" s="20"/>
      <c r="S155" s="20"/>
      <c r="T155" s="20"/>
      <c r="U155" s="20"/>
      <c r="V155" s="20"/>
      <c r="Z155" s="83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94"/>
      <c r="R156" s="20"/>
      <c r="S156" s="20"/>
      <c r="T156" s="20"/>
      <c r="U156" s="20"/>
      <c r="V156" s="20"/>
      <c r="Z156" s="83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94"/>
      <c r="R157" s="20"/>
      <c r="S157" s="20"/>
      <c r="T157" s="20"/>
      <c r="U157" s="20"/>
      <c r="V157" s="20"/>
      <c r="Z157" s="83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94"/>
      <c r="R158" s="20"/>
      <c r="S158" s="20"/>
      <c r="T158" s="20"/>
      <c r="U158" s="20"/>
      <c r="V158" s="20"/>
      <c r="Z158" s="83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94"/>
      <c r="R159" s="20"/>
      <c r="S159" s="20"/>
      <c r="T159" s="20"/>
      <c r="U159" s="20"/>
      <c r="V159" s="20"/>
      <c r="Z159" s="83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94"/>
      <c r="R160" s="20"/>
      <c r="S160" s="20"/>
      <c r="T160" s="20"/>
      <c r="U160" s="20"/>
      <c r="V160" s="20"/>
      <c r="Z160" s="83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94"/>
      <c r="R161" s="20"/>
      <c r="S161" s="20"/>
      <c r="T161" s="20"/>
      <c r="U161" s="20"/>
      <c r="V161" s="20"/>
      <c r="Z161" s="83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94"/>
      <c r="R162" s="20"/>
      <c r="S162" s="20"/>
      <c r="T162" s="20"/>
      <c r="U162" s="21"/>
      <c r="V162" s="20"/>
      <c r="Z162" s="83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94"/>
      <c r="R163" s="20"/>
      <c r="S163" s="20"/>
      <c r="T163" s="20"/>
      <c r="U163" s="21"/>
      <c r="V163" s="20"/>
      <c r="Z163" s="8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94"/>
      <c r="R164" s="20"/>
      <c r="S164" s="20"/>
      <c r="T164" s="20"/>
      <c r="U164" s="21"/>
      <c r="V164" s="20"/>
      <c r="Z164" s="83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94"/>
      <c r="R165" s="20"/>
      <c r="S165" s="20"/>
      <c r="T165" s="20"/>
      <c r="U165" s="21"/>
      <c r="V165" s="20"/>
      <c r="Z165" s="83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94"/>
      <c r="R166" s="20"/>
      <c r="S166" s="20"/>
      <c r="T166" s="20"/>
      <c r="U166" s="21"/>
      <c r="V166" s="20"/>
      <c r="Z166" s="83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94"/>
      <c r="R167" s="20"/>
      <c r="S167" s="20"/>
      <c r="T167" s="20"/>
      <c r="U167" s="21"/>
      <c r="V167" s="20"/>
      <c r="Z167" s="83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94"/>
      <c r="R168" s="20"/>
      <c r="S168" s="20"/>
      <c r="T168" s="20"/>
      <c r="U168" s="21"/>
      <c r="V168" s="20"/>
      <c r="Z168" s="83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94"/>
      <c r="R169" s="20"/>
      <c r="S169" s="20"/>
      <c r="T169" s="20"/>
      <c r="U169" s="20"/>
      <c r="V169" s="20"/>
      <c r="Z169" s="83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94"/>
      <c r="R170" s="20"/>
      <c r="S170" s="20"/>
      <c r="T170" s="20"/>
      <c r="U170" s="20"/>
      <c r="V170" s="20"/>
      <c r="Z170" s="83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94"/>
      <c r="R171" s="20"/>
      <c r="S171" s="20"/>
      <c r="T171" s="20"/>
      <c r="U171" s="20"/>
      <c r="V171" s="20"/>
      <c r="Z171" s="83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94"/>
      <c r="R172" s="20"/>
      <c r="S172" s="20"/>
      <c r="T172" s="20"/>
      <c r="U172" s="20"/>
      <c r="V172" s="20"/>
      <c r="Z172" s="83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94"/>
      <c r="R173" s="20"/>
      <c r="S173" s="20"/>
      <c r="T173" s="20"/>
      <c r="U173" s="20"/>
      <c r="V173" s="20"/>
      <c r="Z173" s="8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94"/>
      <c r="R174" s="20"/>
      <c r="S174" s="20"/>
      <c r="T174" s="20"/>
      <c r="U174" s="20"/>
      <c r="V174" s="20"/>
      <c r="Z174" s="83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94"/>
      <c r="R175" s="20"/>
      <c r="S175" s="20"/>
      <c r="T175" s="20"/>
      <c r="U175" s="20"/>
      <c r="V175" s="20"/>
      <c r="Z175" s="83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94"/>
      <c r="R176" s="20"/>
      <c r="S176" s="20"/>
      <c r="T176" s="20"/>
      <c r="U176" s="20"/>
      <c r="V176" s="20"/>
      <c r="Z176" s="83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94"/>
      <c r="R177" s="20"/>
      <c r="S177" s="20"/>
      <c r="T177" s="20"/>
      <c r="U177" s="20"/>
      <c r="V177" s="20"/>
      <c r="Z177" s="83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94"/>
      <c r="R178" s="20"/>
      <c r="S178" s="20"/>
      <c r="T178" s="20"/>
      <c r="U178" s="20"/>
      <c r="V178" s="20"/>
      <c r="Z178" s="83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94"/>
      <c r="R179" s="20"/>
      <c r="S179" s="20"/>
      <c r="T179" s="20"/>
      <c r="U179" s="20"/>
      <c r="V179" s="20"/>
      <c r="Z179" s="83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94"/>
      <c r="R180" s="20"/>
      <c r="S180" s="20"/>
      <c r="T180" s="20"/>
      <c r="U180" s="20"/>
      <c r="V180" s="20"/>
      <c r="Z180" s="83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94"/>
      <c r="R181" s="20"/>
      <c r="S181" s="20"/>
      <c r="T181" s="20"/>
      <c r="U181" s="20"/>
      <c r="V181" s="20"/>
      <c r="Z181" s="83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94"/>
      <c r="R182" s="20"/>
      <c r="S182" s="20"/>
      <c r="T182" s="20"/>
      <c r="U182" s="20"/>
      <c r="V182" s="20"/>
      <c r="Z182" s="83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94"/>
      <c r="R183" s="20"/>
      <c r="S183" s="20"/>
      <c r="T183" s="20"/>
      <c r="U183" s="20"/>
      <c r="V183" s="20"/>
      <c r="Z183" s="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94"/>
      <c r="R184" s="20"/>
      <c r="S184" s="20"/>
      <c r="T184" s="20"/>
      <c r="U184" s="20"/>
      <c r="V184" s="20"/>
      <c r="Z184" s="83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94"/>
      <c r="R185" s="20"/>
      <c r="S185" s="20"/>
      <c r="T185" s="20"/>
      <c r="U185" s="21"/>
      <c r="V185" s="20"/>
      <c r="Z185" s="83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94"/>
      <c r="R186" s="20"/>
      <c r="S186" s="20"/>
      <c r="T186" s="20"/>
      <c r="U186" s="21"/>
      <c r="V186" s="20"/>
      <c r="Z186" s="83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94"/>
      <c r="R187" s="20"/>
      <c r="S187" s="20"/>
      <c r="T187" s="20"/>
      <c r="U187" s="21"/>
      <c r="V187" s="20"/>
      <c r="Z187" s="83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94"/>
      <c r="R188" s="20"/>
      <c r="S188" s="20"/>
      <c r="T188" s="20"/>
      <c r="U188" s="21"/>
      <c r="V188" s="20"/>
      <c r="Z188" s="83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94"/>
      <c r="R189" s="20"/>
      <c r="S189" s="20"/>
      <c r="T189" s="20"/>
      <c r="U189" s="21"/>
      <c r="V189" s="20"/>
      <c r="Z189" s="83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94"/>
      <c r="R190" s="20"/>
      <c r="S190" s="20"/>
      <c r="T190" s="20"/>
      <c r="U190" s="21"/>
      <c r="V190" s="20"/>
      <c r="Z190" s="83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94"/>
      <c r="R191" s="20"/>
      <c r="S191" s="20"/>
      <c r="T191" s="20"/>
      <c r="U191" s="21"/>
      <c r="V191" s="20"/>
      <c r="Z191" s="83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94"/>
      <c r="R192" s="20"/>
      <c r="S192" s="20"/>
      <c r="T192" s="20"/>
      <c r="U192" s="20"/>
      <c r="V192" s="20"/>
      <c r="Z192" s="83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94"/>
      <c r="R193" s="20"/>
      <c r="S193" s="20"/>
      <c r="T193" s="20"/>
      <c r="U193" s="20"/>
      <c r="V193" s="20"/>
      <c r="Z193" s="8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94"/>
      <c r="R194" s="20"/>
      <c r="S194" s="20"/>
      <c r="T194" s="20"/>
      <c r="U194" s="20"/>
      <c r="V194" s="20"/>
      <c r="Z194" s="83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94"/>
      <c r="R195" s="20"/>
      <c r="S195" s="20"/>
      <c r="T195" s="20"/>
      <c r="U195" s="20"/>
      <c r="V195" s="20"/>
      <c r="Z195" s="83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94"/>
      <c r="R196" s="20"/>
      <c r="S196" s="20"/>
      <c r="T196" s="20"/>
      <c r="U196" s="20"/>
      <c r="V196" s="20"/>
      <c r="Z196" s="83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94"/>
      <c r="R197" s="20"/>
      <c r="S197" s="20"/>
      <c r="T197" s="20"/>
      <c r="U197" s="20"/>
      <c r="V197" s="20"/>
      <c r="Z197" s="83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94"/>
      <c r="R198" s="20"/>
      <c r="S198" s="20"/>
      <c r="T198" s="20"/>
      <c r="U198" s="20"/>
      <c r="V198" s="20"/>
      <c r="Z198" s="83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94"/>
      <c r="R199" s="20"/>
      <c r="S199" s="20"/>
      <c r="T199" s="20"/>
      <c r="U199" s="20"/>
      <c r="V199" s="20"/>
      <c r="Z199" s="83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94"/>
      <c r="R200" s="20"/>
      <c r="S200" s="20"/>
      <c r="T200" s="20"/>
      <c r="U200" s="20"/>
      <c r="V200" s="20"/>
      <c r="Z200" s="83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94"/>
      <c r="R201" s="20"/>
      <c r="S201" s="20"/>
      <c r="T201" s="20"/>
      <c r="U201" s="20"/>
      <c r="V201" s="20"/>
      <c r="Z201" s="83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94"/>
      <c r="R202" s="20"/>
      <c r="S202" s="20"/>
      <c r="T202" s="20"/>
      <c r="U202" s="20"/>
      <c r="V202" s="20"/>
      <c r="Z202" s="83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94"/>
      <c r="R203" s="20"/>
      <c r="S203" s="20"/>
      <c r="T203" s="20"/>
      <c r="U203" s="20"/>
      <c r="V203" s="20"/>
      <c r="Z203" s="8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94"/>
      <c r="R204" s="20"/>
      <c r="S204" s="20"/>
      <c r="T204" s="20"/>
      <c r="U204" s="20"/>
      <c r="V204" s="20"/>
      <c r="Z204" s="83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94"/>
      <c r="R205" s="20"/>
      <c r="S205" s="20"/>
      <c r="T205" s="20"/>
      <c r="U205" s="20"/>
      <c r="V205" s="20"/>
      <c r="Z205" s="83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94"/>
      <c r="R206" s="20"/>
      <c r="S206" s="20"/>
      <c r="T206" s="20"/>
      <c r="U206" s="20"/>
      <c r="V206" s="20"/>
      <c r="Z206" s="83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94"/>
      <c r="R207" s="20"/>
      <c r="S207" s="20"/>
      <c r="T207" s="20"/>
      <c r="U207" s="20"/>
      <c r="V207" s="20"/>
      <c r="Z207" s="83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94"/>
      <c r="R208" s="20"/>
      <c r="S208" s="20"/>
      <c r="T208" s="20"/>
      <c r="U208" s="21"/>
      <c r="V208" s="20"/>
      <c r="Z208" s="83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94"/>
      <c r="R209" s="20"/>
      <c r="S209" s="20"/>
      <c r="T209" s="20"/>
      <c r="U209" s="21"/>
      <c r="V209" s="20"/>
      <c r="Z209" s="83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94"/>
      <c r="R210" s="20"/>
      <c r="S210" s="20"/>
      <c r="T210" s="20"/>
      <c r="U210" s="21"/>
      <c r="V210" s="20"/>
      <c r="Z210" s="83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94"/>
      <c r="R211" s="20"/>
      <c r="S211" s="20"/>
      <c r="T211" s="20"/>
      <c r="U211" s="21"/>
      <c r="V211" s="20"/>
      <c r="Z211" s="83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94"/>
      <c r="R212" s="20"/>
      <c r="S212" s="20"/>
      <c r="T212" s="20"/>
      <c r="U212" s="21"/>
      <c r="V212" s="20"/>
      <c r="Z212" s="83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94"/>
      <c r="R213" s="20"/>
      <c r="S213" s="20"/>
      <c r="T213" s="20"/>
      <c r="U213" s="21"/>
      <c r="V213" s="20"/>
      <c r="Z213" s="8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94"/>
      <c r="R214" s="20"/>
      <c r="S214" s="20"/>
      <c r="T214" s="20"/>
      <c r="U214" s="21"/>
      <c r="V214" s="20"/>
      <c r="Z214" s="83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94"/>
      <c r="R215" s="20"/>
      <c r="S215" s="20"/>
      <c r="T215" s="20"/>
      <c r="U215" s="20"/>
      <c r="V215" s="20"/>
      <c r="Z215" s="83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94"/>
      <c r="R216" s="20"/>
      <c r="S216" s="20"/>
      <c r="T216" s="20"/>
      <c r="U216" s="20"/>
      <c r="V216" s="20"/>
      <c r="Z216" s="83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94"/>
      <c r="R217" s="20"/>
      <c r="S217" s="20"/>
      <c r="T217" s="20"/>
      <c r="U217" s="20"/>
      <c r="V217" s="20"/>
      <c r="Z217" s="83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94"/>
      <c r="R218" s="20"/>
      <c r="S218" s="20"/>
      <c r="T218" s="20"/>
      <c r="U218" s="20"/>
      <c r="V218" s="20"/>
      <c r="Z218" s="83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94"/>
      <c r="R219" s="20"/>
      <c r="S219" s="20"/>
      <c r="T219" s="20"/>
      <c r="U219" s="20"/>
      <c r="V219" s="20"/>
      <c r="Z219" s="83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94"/>
      <c r="R220" s="20"/>
      <c r="S220" s="20"/>
      <c r="T220" s="20"/>
      <c r="U220" s="20"/>
      <c r="V220" s="20"/>
      <c r="Z220" s="83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94"/>
      <c r="R221" s="20"/>
      <c r="S221" s="20"/>
      <c r="T221" s="20"/>
      <c r="U221" s="20"/>
      <c r="V221" s="20"/>
      <c r="Z221" s="83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94"/>
      <c r="R222" s="20"/>
      <c r="S222" s="20"/>
      <c r="T222" s="20"/>
      <c r="U222" s="20"/>
      <c r="V222" s="20"/>
      <c r="Z222" s="83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94"/>
      <c r="R223" s="20"/>
      <c r="S223" s="20"/>
      <c r="T223" s="20"/>
      <c r="U223" s="20"/>
      <c r="V223" s="20"/>
      <c r="Z223" s="8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94"/>
      <c r="R224" s="20"/>
      <c r="S224" s="20"/>
      <c r="T224" s="20"/>
      <c r="U224" s="20"/>
      <c r="V224" s="20"/>
      <c r="Z224" s="83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94"/>
      <c r="R225" s="20"/>
      <c r="S225" s="20"/>
      <c r="T225" s="20"/>
      <c r="U225" s="20"/>
      <c r="V225" s="20"/>
      <c r="Z225" s="83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94"/>
      <c r="R226" s="20"/>
      <c r="S226" s="20"/>
      <c r="T226" s="20"/>
      <c r="U226" s="20"/>
      <c r="V226" s="20"/>
      <c r="Z226" s="83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94"/>
      <c r="R227" s="20"/>
      <c r="S227" s="20"/>
      <c r="T227" s="20"/>
      <c r="U227" s="20"/>
      <c r="V227" s="20"/>
      <c r="Z227" s="83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94"/>
      <c r="R228" s="20"/>
      <c r="S228" s="20"/>
      <c r="T228" s="20"/>
      <c r="U228" s="20"/>
      <c r="V228" s="20"/>
      <c r="Z228" s="83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94"/>
      <c r="R229" s="20"/>
      <c r="S229" s="20"/>
      <c r="T229" s="20"/>
      <c r="U229" s="20"/>
      <c r="V229" s="20"/>
      <c r="Z229" s="83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94"/>
      <c r="R230" s="20"/>
      <c r="S230" s="20"/>
      <c r="T230" s="20"/>
      <c r="U230" s="20"/>
      <c r="V230" s="20"/>
      <c r="Z230" s="83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94"/>
      <c r="R231" s="20"/>
      <c r="S231" s="20"/>
      <c r="T231" s="20"/>
      <c r="U231" s="21"/>
      <c r="V231" s="20"/>
      <c r="Z231" s="83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94"/>
      <c r="R232" s="20"/>
      <c r="S232" s="20"/>
      <c r="T232" s="20"/>
      <c r="U232" s="21"/>
      <c r="V232" s="20"/>
      <c r="Z232" s="83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94"/>
      <c r="R233" s="20"/>
      <c r="S233" s="20"/>
      <c r="T233" s="20"/>
      <c r="U233" s="21"/>
      <c r="V233" s="20"/>
      <c r="Z233" s="8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94"/>
      <c r="R234" s="20"/>
      <c r="S234" s="20"/>
      <c r="T234" s="20"/>
      <c r="U234" s="21"/>
      <c r="V234" s="20"/>
      <c r="Z234" s="83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94"/>
      <c r="R235" s="20"/>
      <c r="S235" s="20"/>
      <c r="T235" s="20"/>
      <c r="U235" s="21"/>
      <c r="V235" s="20"/>
      <c r="Z235" s="83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94"/>
      <c r="R236" s="20"/>
      <c r="S236" s="20"/>
      <c r="T236" s="20"/>
      <c r="U236" s="21"/>
      <c r="V236" s="20"/>
      <c r="Z236" s="83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94"/>
      <c r="R237" s="20"/>
      <c r="S237" s="20"/>
      <c r="T237" s="20"/>
      <c r="U237" s="21"/>
      <c r="V237" s="20"/>
      <c r="Z237" s="83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94"/>
      <c r="R238" s="20"/>
      <c r="S238" s="20"/>
      <c r="T238" s="20"/>
      <c r="U238" s="20"/>
      <c r="V238" s="20"/>
      <c r="Z238" s="83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94"/>
      <c r="R239" s="20"/>
      <c r="S239" s="20"/>
      <c r="T239" s="20"/>
      <c r="U239" s="20"/>
      <c r="V239" s="20"/>
      <c r="Z239" s="83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94"/>
      <c r="R240" s="20"/>
      <c r="S240" s="20"/>
      <c r="T240" s="20"/>
      <c r="U240" s="20"/>
      <c r="V240" s="20"/>
      <c r="Z240" s="83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94"/>
      <c r="R241" s="20"/>
      <c r="S241" s="20"/>
      <c r="T241" s="20"/>
      <c r="U241" s="20"/>
      <c r="V241" s="20"/>
      <c r="Z241" s="83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94"/>
      <c r="R242" s="20"/>
      <c r="S242" s="20"/>
      <c r="T242" s="20"/>
      <c r="U242" s="20"/>
      <c r="V242" s="20"/>
      <c r="Z242" s="83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94"/>
      <c r="R243" s="20"/>
      <c r="S243" s="20"/>
      <c r="T243" s="20"/>
      <c r="U243" s="20"/>
      <c r="V243" s="20"/>
      <c r="Z243" s="8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94"/>
      <c r="R244" s="20"/>
      <c r="S244" s="20"/>
      <c r="T244" s="20"/>
      <c r="U244" s="20"/>
      <c r="V244" s="20"/>
      <c r="Z244" s="83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94"/>
      <c r="R245" s="20"/>
      <c r="S245" s="20"/>
      <c r="T245" s="20"/>
      <c r="U245" s="20"/>
      <c r="V245" s="20"/>
      <c r="Z245" s="83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94"/>
      <c r="R246" s="20"/>
      <c r="S246" s="20"/>
      <c r="T246" s="20"/>
      <c r="U246" s="20"/>
      <c r="V246" s="20"/>
      <c r="Z246" s="83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94"/>
      <c r="R247" s="20"/>
      <c r="S247" s="20"/>
      <c r="T247" s="20"/>
      <c r="U247" s="20"/>
      <c r="V247" s="20"/>
      <c r="Z247" s="83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94"/>
      <c r="R248" s="20"/>
      <c r="S248" s="20"/>
      <c r="T248" s="20"/>
      <c r="U248" s="20"/>
      <c r="V248" s="20"/>
      <c r="Z248" s="83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94"/>
      <c r="R249" s="20"/>
      <c r="S249" s="20"/>
      <c r="T249" s="20"/>
      <c r="U249" s="20"/>
      <c r="V249" s="20"/>
      <c r="Z249" s="83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94"/>
      <c r="R250" s="20"/>
      <c r="S250" s="20"/>
      <c r="T250" s="20"/>
      <c r="U250" s="20"/>
      <c r="V250" s="20"/>
      <c r="Z250" s="83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94"/>
      <c r="R251" s="20"/>
      <c r="S251" s="20"/>
      <c r="T251" s="20"/>
      <c r="U251" s="20"/>
      <c r="V251" s="20"/>
      <c r="Z251" s="83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94"/>
      <c r="R252" s="20"/>
      <c r="S252" s="20"/>
      <c r="T252" s="20"/>
      <c r="U252" s="20"/>
      <c r="V252" s="20"/>
      <c r="Z252" s="83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94"/>
      <c r="R253" s="20"/>
      <c r="S253" s="20"/>
      <c r="T253" s="20"/>
      <c r="U253" s="20"/>
      <c r="V253" s="20"/>
      <c r="Z253" s="8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94"/>
      <c r="R254" s="20"/>
      <c r="S254" s="20"/>
      <c r="T254" s="20"/>
      <c r="U254" s="21"/>
      <c r="V254" s="20"/>
      <c r="Z254" s="83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94"/>
      <c r="R255" s="20"/>
      <c r="S255" s="20"/>
      <c r="T255" s="20"/>
      <c r="U255" s="21"/>
      <c r="V255" s="20"/>
      <c r="Z255" s="83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94"/>
      <c r="R256" s="20"/>
      <c r="S256" s="20"/>
      <c r="T256" s="20"/>
      <c r="U256" s="21"/>
      <c r="V256" s="20"/>
      <c r="Z256" s="83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94"/>
      <c r="R257" s="20"/>
      <c r="S257" s="20"/>
      <c r="T257" s="20"/>
      <c r="U257" s="21"/>
      <c r="V257" s="20"/>
      <c r="Z257" s="83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94"/>
      <c r="R258" s="20"/>
      <c r="S258" s="20"/>
      <c r="T258" s="20"/>
      <c r="U258" s="21"/>
      <c r="V258" s="20"/>
      <c r="Z258" s="83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94"/>
      <c r="R259" s="20"/>
      <c r="S259" s="20"/>
      <c r="T259" s="20"/>
      <c r="U259" s="21"/>
      <c r="V259" s="20"/>
      <c r="Z259" s="83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94"/>
      <c r="R260" s="20"/>
      <c r="S260" s="20"/>
      <c r="T260" s="20"/>
      <c r="U260" s="21"/>
      <c r="V260" s="20"/>
      <c r="Z260" s="83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94"/>
      <c r="R261" s="20"/>
      <c r="S261" s="20"/>
      <c r="T261" s="20"/>
      <c r="U261" s="20"/>
      <c r="V261" s="20"/>
      <c r="Z261" s="83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94"/>
      <c r="R262" s="20"/>
      <c r="S262" s="20"/>
      <c r="T262" s="20"/>
      <c r="U262" s="20"/>
      <c r="V262" s="20"/>
      <c r="Z262" s="83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94"/>
      <c r="R263" s="20"/>
      <c r="S263" s="20"/>
      <c r="T263" s="20"/>
      <c r="U263" s="20"/>
      <c r="V263" s="20"/>
      <c r="Z263" s="8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94"/>
      <c r="R264" s="20"/>
      <c r="S264" s="20"/>
      <c r="T264" s="20"/>
      <c r="U264" s="20"/>
      <c r="V264" s="20"/>
      <c r="Z264" s="83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94"/>
      <c r="R265" s="20"/>
      <c r="S265" s="20"/>
      <c r="T265" s="20"/>
      <c r="U265" s="20"/>
      <c r="V265" s="20"/>
      <c r="Z265" s="83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94"/>
      <c r="R266" s="20"/>
      <c r="S266" s="20"/>
      <c r="T266" s="20"/>
      <c r="U266" s="20"/>
      <c r="V266" s="20"/>
      <c r="Z266" s="83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94"/>
      <c r="R267" s="20"/>
      <c r="S267" s="20"/>
      <c r="T267" s="20"/>
      <c r="U267" s="20"/>
      <c r="V267" s="20"/>
      <c r="Z267" s="83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94"/>
      <c r="R268" s="20"/>
      <c r="S268" s="20"/>
      <c r="T268" s="20"/>
      <c r="U268" s="20"/>
      <c r="V268" s="20"/>
      <c r="Z268" s="83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94"/>
      <c r="R269" s="20"/>
      <c r="S269" s="20"/>
      <c r="T269" s="20"/>
      <c r="U269" s="20"/>
      <c r="V269" s="20"/>
      <c r="Z269" s="83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94"/>
      <c r="R270" s="20"/>
      <c r="S270" s="20"/>
      <c r="T270" s="20"/>
      <c r="U270" s="20"/>
      <c r="V270" s="20"/>
      <c r="Z270" s="83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94"/>
      <c r="R271" s="20"/>
      <c r="S271" s="20"/>
      <c r="T271" s="20"/>
      <c r="U271" s="20"/>
      <c r="V271" s="20"/>
      <c r="Z271" s="83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94"/>
      <c r="R272" s="20"/>
      <c r="S272" s="20"/>
      <c r="T272" s="20"/>
      <c r="U272" s="20"/>
      <c r="V272" s="20"/>
      <c r="Z272" s="83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94"/>
      <c r="R273" s="20"/>
      <c r="S273" s="20"/>
      <c r="T273" s="20"/>
      <c r="U273" s="20"/>
      <c r="V273" s="20"/>
      <c r="Z273" s="8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94"/>
      <c r="R274" s="20"/>
      <c r="S274" s="20"/>
      <c r="T274" s="20"/>
      <c r="U274" s="20"/>
      <c r="V274" s="20"/>
      <c r="Z274" s="83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94"/>
      <c r="R275" s="20"/>
      <c r="S275" s="20"/>
      <c r="T275" s="20"/>
      <c r="U275" s="20"/>
      <c r="V275" s="20"/>
      <c r="Z275" s="83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94"/>
      <c r="R276" s="20"/>
      <c r="S276" s="20"/>
      <c r="T276" s="20"/>
      <c r="U276" s="20"/>
      <c r="V276" s="20"/>
      <c r="Z276" s="83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s="83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s="83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s="83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s="83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s="83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s="83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44" t="s">
        <v>153</v>
      </c>
      <c r="B2" s="144"/>
      <c r="C2" s="144"/>
      <c r="D2" s="144"/>
      <c r="E2" s="144"/>
      <c r="F2" s="144"/>
      <c r="G2" s="144"/>
      <c r="H2" s="144"/>
      <c r="I2" s="14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143</v>
      </c>
      <c r="D3" t="s">
        <v>29</v>
      </c>
      <c r="F3" s="84" t="s">
        <v>143</v>
      </c>
      <c r="G3" t="s">
        <v>139</v>
      </c>
      <c r="I3" t="s">
        <v>172</v>
      </c>
      <c r="K3" s="84" t="s">
        <v>143</v>
      </c>
      <c r="P3" t="s">
        <v>108</v>
      </c>
      <c r="Q3" t="s">
        <v>174</v>
      </c>
    </row>
    <row r="4" spans="1:18">
      <c r="A4" s="86" t="s">
        <v>135</v>
      </c>
      <c r="C4" t="s">
        <v>135</v>
      </c>
      <c r="D4" s="13">
        <f t="shared" ref="D4:D15" si="0">B4</f>
        <v>0</v>
      </c>
      <c r="F4" s="86" t="s">
        <v>135</v>
      </c>
      <c r="G4" s="85"/>
      <c r="H4" t="s">
        <v>135</v>
      </c>
      <c r="I4" s="13">
        <f t="shared" ref="I4:I15" si="1">G4</f>
        <v>0</v>
      </c>
      <c r="J4" s="13"/>
      <c r="K4" s="86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8" t="e">
        <f t="shared" ref="P4:P15" si="4">+D4/N4</f>
        <v>#DIV/0!</v>
      </c>
      <c r="Q4" s="78" t="e">
        <f t="shared" ref="Q4:Q15" si="5">+I4/N4</f>
        <v>#DIV/0!</v>
      </c>
      <c r="R4" s="13"/>
    </row>
    <row r="5" spans="1:18">
      <c r="A5" s="86" t="s">
        <v>136</v>
      </c>
      <c r="C5" t="s">
        <v>136</v>
      </c>
      <c r="D5" s="13">
        <f t="shared" si="0"/>
        <v>0</v>
      </c>
      <c r="F5" s="86" t="s">
        <v>136</v>
      </c>
      <c r="G5" s="85"/>
      <c r="H5" t="s">
        <v>136</v>
      </c>
      <c r="I5" s="13">
        <f t="shared" si="1"/>
        <v>0</v>
      </c>
      <c r="J5" s="13"/>
      <c r="K5" s="86" t="s">
        <v>136</v>
      </c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137</v>
      </c>
      <c r="C6" t="s">
        <v>137</v>
      </c>
      <c r="D6" s="13">
        <f t="shared" si="0"/>
        <v>0</v>
      </c>
      <c r="F6" s="86" t="s">
        <v>137</v>
      </c>
      <c r="G6" s="85"/>
      <c r="H6" t="s">
        <v>137</v>
      </c>
      <c r="I6" s="13">
        <f t="shared" si="1"/>
        <v>0</v>
      </c>
      <c r="J6" s="13"/>
      <c r="K6" s="86" t="s">
        <v>137</v>
      </c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140</v>
      </c>
      <c r="C7" t="s">
        <v>140</v>
      </c>
      <c r="D7" s="13">
        <f t="shared" si="0"/>
        <v>0</v>
      </c>
      <c r="F7" s="86" t="s">
        <v>140</v>
      </c>
      <c r="G7" s="85"/>
      <c r="H7" t="s">
        <v>140</v>
      </c>
      <c r="I7" s="13">
        <f t="shared" si="1"/>
        <v>0</v>
      </c>
      <c r="J7" s="13"/>
      <c r="K7" s="86" t="s">
        <v>140</v>
      </c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141</v>
      </c>
      <c r="C8" t="s">
        <v>141</v>
      </c>
      <c r="D8" s="13">
        <f t="shared" si="0"/>
        <v>0</v>
      </c>
      <c r="F8" s="86" t="s">
        <v>141</v>
      </c>
      <c r="G8" s="85"/>
      <c r="H8" t="s">
        <v>141</v>
      </c>
      <c r="I8" s="13">
        <f t="shared" si="1"/>
        <v>0</v>
      </c>
      <c r="J8" s="13"/>
      <c r="K8" s="86" t="s">
        <v>141</v>
      </c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146</v>
      </c>
      <c r="C9" t="s">
        <v>146</v>
      </c>
      <c r="D9" s="13">
        <f t="shared" si="0"/>
        <v>0</v>
      </c>
      <c r="F9" s="86" t="s">
        <v>146</v>
      </c>
      <c r="G9" s="85"/>
      <c r="H9" t="s">
        <v>146</v>
      </c>
      <c r="I9" s="13">
        <f t="shared" si="1"/>
        <v>0</v>
      </c>
      <c r="J9" s="13"/>
      <c r="K9" s="86" t="s">
        <v>146</v>
      </c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147</v>
      </c>
      <c r="C10" t="s">
        <v>147</v>
      </c>
      <c r="D10" s="13">
        <f t="shared" si="0"/>
        <v>0</v>
      </c>
      <c r="F10" s="86" t="s">
        <v>147</v>
      </c>
      <c r="G10" s="85"/>
      <c r="H10" t="s">
        <v>147</v>
      </c>
      <c r="I10" s="13">
        <f t="shared" si="1"/>
        <v>0</v>
      </c>
      <c r="J10" s="13"/>
      <c r="K10" s="86" t="s">
        <v>147</v>
      </c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148</v>
      </c>
      <c r="C11" t="s">
        <v>148</v>
      </c>
      <c r="D11" s="13">
        <f t="shared" si="0"/>
        <v>0</v>
      </c>
      <c r="F11" s="86" t="s">
        <v>148</v>
      </c>
      <c r="G11" s="85"/>
      <c r="H11" t="s">
        <v>148</v>
      </c>
      <c r="I11" s="13">
        <f t="shared" si="1"/>
        <v>0</v>
      </c>
      <c r="J11" s="13"/>
      <c r="K11" s="86" t="s">
        <v>148</v>
      </c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149</v>
      </c>
      <c r="C12" t="s">
        <v>149</v>
      </c>
      <c r="D12" s="13">
        <f t="shared" si="0"/>
        <v>0</v>
      </c>
      <c r="F12" s="86" t="s">
        <v>149</v>
      </c>
      <c r="G12" s="85"/>
      <c r="H12" t="s">
        <v>149</v>
      </c>
      <c r="I12" s="13">
        <f t="shared" si="1"/>
        <v>0</v>
      </c>
      <c r="J12" s="13"/>
      <c r="K12" s="86" t="s">
        <v>149</v>
      </c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150</v>
      </c>
      <c r="C13" t="s">
        <v>150</v>
      </c>
      <c r="D13" s="13">
        <f t="shared" si="0"/>
        <v>0</v>
      </c>
      <c r="F13" s="86" t="s">
        <v>150</v>
      </c>
      <c r="G13" s="85"/>
      <c r="H13" t="s">
        <v>150</v>
      </c>
      <c r="I13" s="13">
        <f t="shared" si="1"/>
        <v>0</v>
      </c>
      <c r="J13" s="13"/>
      <c r="K13" s="86" t="s">
        <v>150</v>
      </c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151</v>
      </c>
      <c r="C14" t="s">
        <v>151</v>
      </c>
      <c r="D14" s="13">
        <f t="shared" si="0"/>
        <v>0</v>
      </c>
      <c r="F14" s="86" t="s">
        <v>151</v>
      </c>
      <c r="G14" s="85"/>
      <c r="H14" t="s">
        <v>151</v>
      </c>
      <c r="I14" s="13">
        <f t="shared" si="1"/>
        <v>0</v>
      </c>
      <c r="J14" s="13"/>
      <c r="K14" s="86" t="s">
        <v>151</v>
      </c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152</v>
      </c>
      <c r="C15" t="s">
        <v>152</v>
      </c>
      <c r="D15" s="13">
        <f t="shared" si="0"/>
        <v>0</v>
      </c>
      <c r="F15" s="86" t="s">
        <v>152</v>
      </c>
      <c r="G15" s="85"/>
      <c r="H15" t="s">
        <v>152</v>
      </c>
      <c r="I15" s="13">
        <f t="shared" si="1"/>
        <v>0</v>
      </c>
      <c r="J15" s="13"/>
      <c r="K15" s="86" t="s">
        <v>152</v>
      </c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170</v>
      </c>
      <c r="F16" s="86" t="s">
        <v>170</v>
      </c>
      <c r="G16" s="85"/>
      <c r="K16" s="86" t="s">
        <v>170</v>
      </c>
      <c r="M16" s="13"/>
    </row>
    <row r="17" spans="1:18">
      <c r="A17" s="86" t="s">
        <v>138</v>
      </c>
      <c r="F17" s="86" t="s">
        <v>138</v>
      </c>
      <c r="G17" s="87"/>
      <c r="K17" s="86" t="s">
        <v>138</v>
      </c>
      <c r="M17" s="73"/>
    </row>
    <row r="21" spans="1:18">
      <c r="A21" s="144" t="s">
        <v>173</v>
      </c>
      <c r="B21" s="144"/>
      <c r="C21" s="144"/>
      <c r="D21" s="144"/>
      <c r="E21" s="144"/>
      <c r="F21" s="144"/>
      <c r="G21" s="144"/>
      <c r="H21" s="144"/>
      <c r="I21" s="14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143</v>
      </c>
      <c r="F22" s="84" t="s">
        <v>143</v>
      </c>
      <c r="G22" t="s">
        <v>139</v>
      </c>
      <c r="K22" s="84" t="s">
        <v>143</v>
      </c>
      <c r="P22" t="s">
        <v>108</v>
      </c>
      <c r="Q22" t="s">
        <v>174</v>
      </c>
    </row>
    <row r="23" spans="1:18">
      <c r="A23" s="86" t="s">
        <v>135</v>
      </c>
      <c r="C23" t="str">
        <f t="shared" ref="C23:C34" si="6">A23</f>
        <v>Enero</v>
      </c>
      <c r="D23" s="13">
        <f t="shared" ref="D23:D34" si="7">B23</f>
        <v>0</v>
      </c>
      <c r="F23" s="86" t="s">
        <v>135</v>
      </c>
      <c r="G23" s="85"/>
      <c r="H23" t="str">
        <f t="shared" ref="H23:H34" si="8">F23</f>
        <v>Enero</v>
      </c>
      <c r="I23" s="13">
        <f t="shared" ref="I23:I34" si="9">G23</f>
        <v>0</v>
      </c>
      <c r="K23" s="86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8" t="e">
        <f t="shared" ref="P23:P34" si="12">+D23/N23</f>
        <v>#DIV/0!</v>
      </c>
      <c r="Q23" s="78" t="e">
        <f t="shared" ref="Q23:Q34" si="13">+I23/N23</f>
        <v>#DIV/0!</v>
      </c>
    </row>
    <row r="24" spans="1:18">
      <c r="A24" s="86" t="s">
        <v>136</v>
      </c>
      <c r="C24" t="str">
        <f t="shared" si="6"/>
        <v>Febrero</v>
      </c>
      <c r="D24" s="13">
        <f t="shared" si="7"/>
        <v>0</v>
      </c>
      <c r="F24" s="86" t="s">
        <v>136</v>
      </c>
      <c r="G24" s="85"/>
      <c r="H24" t="str">
        <f t="shared" si="8"/>
        <v>Febrero</v>
      </c>
      <c r="I24" s="13">
        <f t="shared" si="9"/>
        <v>0</v>
      </c>
      <c r="K24" s="86" t="s">
        <v>136</v>
      </c>
      <c r="M24" s="13" t="str">
        <f t="shared" si="10"/>
        <v>Febrero</v>
      </c>
      <c r="N24" s="13">
        <f t="shared" si="11"/>
        <v>0</v>
      </c>
      <c r="O24" s="13"/>
      <c r="P24" s="78" t="e">
        <f t="shared" si="12"/>
        <v>#DIV/0!</v>
      </c>
      <c r="Q24" s="78" t="e">
        <f t="shared" si="13"/>
        <v>#DIV/0!</v>
      </c>
    </row>
    <row r="25" spans="1:18">
      <c r="A25" s="86" t="s">
        <v>137</v>
      </c>
      <c r="C25" t="str">
        <f t="shared" si="6"/>
        <v>Marzo</v>
      </c>
      <c r="D25" s="13">
        <f t="shared" si="7"/>
        <v>0</v>
      </c>
      <c r="F25" s="86" t="s">
        <v>137</v>
      </c>
      <c r="G25" s="85"/>
      <c r="H25" t="str">
        <f t="shared" si="8"/>
        <v>Marzo</v>
      </c>
      <c r="I25" s="13">
        <f t="shared" si="9"/>
        <v>0</v>
      </c>
      <c r="K25" s="86" t="s">
        <v>137</v>
      </c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140</v>
      </c>
      <c r="C26" t="str">
        <f t="shared" si="6"/>
        <v>Abril</v>
      </c>
      <c r="D26" s="13">
        <f t="shared" si="7"/>
        <v>0</v>
      </c>
      <c r="F26" s="86" t="s">
        <v>140</v>
      </c>
      <c r="G26" s="85"/>
      <c r="H26" t="str">
        <f t="shared" si="8"/>
        <v>Abril</v>
      </c>
      <c r="I26" s="13">
        <f t="shared" si="9"/>
        <v>0</v>
      </c>
      <c r="K26" s="86" t="s">
        <v>140</v>
      </c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141</v>
      </c>
      <c r="C27" t="str">
        <f t="shared" si="6"/>
        <v>Mayo</v>
      </c>
      <c r="D27" s="13">
        <f t="shared" si="7"/>
        <v>0</v>
      </c>
      <c r="F27" s="86" t="s">
        <v>141</v>
      </c>
      <c r="G27" s="85"/>
      <c r="H27" t="str">
        <f t="shared" si="8"/>
        <v>Mayo</v>
      </c>
      <c r="I27" s="13">
        <f t="shared" si="9"/>
        <v>0</v>
      </c>
      <c r="K27" s="86" t="s">
        <v>141</v>
      </c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146</v>
      </c>
      <c r="C28" t="str">
        <f t="shared" si="6"/>
        <v>Junio</v>
      </c>
      <c r="D28" s="13">
        <f t="shared" si="7"/>
        <v>0</v>
      </c>
      <c r="F28" s="86" t="s">
        <v>146</v>
      </c>
      <c r="G28" s="85"/>
      <c r="H28" t="str">
        <f t="shared" si="8"/>
        <v>Junio</v>
      </c>
      <c r="I28" s="13">
        <f t="shared" si="9"/>
        <v>0</v>
      </c>
      <c r="K28" s="86" t="s">
        <v>146</v>
      </c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147</v>
      </c>
      <c r="C29" t="str">
        <f t="shared" si="6"/>
        <v>Julio</v>
      </c>
      <c r="D29" s="13">
        <f t="shared" si="7"/>
        <v>0</v>
      </c>
      <c r="F29" s="86" t="s">
        <v>147</v>
      </c>
      <c r="G29" s="85"/>
      <c r="H29" t="str">
        <f t="shared" si="8"/>
        <v>Julio</v>
      </c>
      <c r="I29" s="13">
        <f t="shared" si="9"/>
        <v>0</v>
      </c>
      <c r="K29" s="86" t="s">
        <v>147</v>
      </c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148</v>
      </c>
      <c r="C30" t="str">
        <f t="shared" si="6"/>
        <v>Agosto</v>
      </c>
      <c r="D30" s="13">
        <f t="shared" si="7"/>
        <v>0</v>
      </c>
      <c r="F30" s="86" t="s">
        <v>148</v>
      </c>
      <c r="G30" s="85"/>
      <c r="H30" t="str">
        <f t="shared" si="8"/>
        <v>Agosto</v>
      </c>
      <c r="I30" s="13">
        <f t="shared" si="9"/>
        <v>0</v>
      </c>
      <c r="K30" s="86" t="s">
        <v>148</v>
      </c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149</v>
      </c>
      <c r="C31" t="str">
        <f t="shared" si="6"/>
        <v>Septiembre</v>
      </c>
      <c r="D31" s="13">
        <f t="shared" si="7"/>
        <v>0</v>
      </c>
      <c r="F31" s="86" t="s">
        <v>149</v>
      </c>
      <c r="G31" s="85"/>
      <c r="H31" t="str">
        <f t="shared" si="8"/>
        <v>Septiembre</v>
      </c>
      <c r="I31" s="13">
        <f t="shared" si="9"/>
        <v>0</v>
      </c>
      <c r="K31" s="86" t="s">
        <v>149</v>
      </c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150</v>
      </c>
      <c r="C32" t="str">
        <f t="shared" si="6"/>
        <v>Octubre</v>
      </c>
      <c r="D32" s="13">
        <f t="shared" si="7"/>
        <v>0</v>
      </c>
      <c r="F32" s="86" t="s">
        <v>150</v>
      </c>
      <c r="G32" s="85"/>
      <c r="H32" t="str">
        <f t="shared" si="8"/>
        <v>Octubre</v>
      </c>
      <c r="I32" s="13">
        <f t="shared" si="9"/>
        <v>0</v>
      </c>
      <c r="K32" s="86" t="s">
        <v>150</v>
      </c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151</v>
      </c>
      <c r="C33" t="str">
        <f t="shared" si="6"/>
        <v>Noviembre</v>
      </c>
      <c r="D33" s="13">
        <f t="shared" si="7"/>
        <v>0</v>
      </c>
      <c r="F33" s="86" t="s">
        <v>151</v>
      </c>
      <c r="G33" s="85"/>
      <c r="H33" t="str">
        <f t="shared" si="8"/>
        <v>Noviembre</v>
      </c>
      <c r="I33" s="13">
        <f t="shared" si="9"/>
        <v>0</v>
      </c>
      <c r="K33" s="86" t="s">
        <v>151</v>
      </c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152</v>
      </c>
      <c r="C34" t="str">
        <f t="shared" si="6"/>
        <v>Diciembre</v>
      </c>
      <c r="D34" s="13">
        <f t="shared" si="7"/>
        <v>0</v>
      </c>
      <c r="F34" s="86" t="s">
        <v>152</v>
      </c>
      <c r="G34" s="85"/>
      <c r="H34" t="str">
        <f t="shared" si="8"/>
        <v>Diciembre</v>
      </c>
      <c r="I34" s="13">
        <f t="shared" si="9"/>
        <v>0</v>
      </c>
      <c r="K34" s="86" t="s">
        <v>152</v>
      </c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170</v>
      </c>
      <c r="F35" s="86" t="s">
        <v>170</v>
      </c>
      <c r="G35" s="85"/>
      <c r="K35" s="86" t="s">
        <v>170</v>
      </c>
      <c r="M35" s="13"/>
    </row>
    <row r="36" spans="1:18">
      <c r="A36" s="86" t="s">
        <v>138</v>
      </c>
      <c r="F36" s="86" t="s">
        <v>138</v>
      </c>
      <c r="G36" s="87"/>
      <c r="K36" s="86" t="s">
        <v>138</v>
      </c>
      <c r="M36" s="73"/>
    </row>
    <row r="39" spans="1:18">
      <c r="B39" s="145" t="s">
        <v>166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</row>
    <row r="41" spans="1:18">
      <c r="B41" s="84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s="83" t="s">
        <v>135</v>
      </c>
      <c r="C42" s="85">
        <v>2814860723.8000002</v>
      </c>
      <c r="F42" t="str">
        <f t="shared" ref="F42:F53" si="14">B42</f>
        <v>Enero</v>
      </c>
      <c r="G42" s="78" t="e">
        <f>+GETPIVOTDATA("SCOMPROMISO",$B$41,"Mes","Enero")/GETPIVOTDATA(" APR. VIGENTE",$B$41,"Mes","Enero")</f>
        <v>#REF!</v>
      </c>
      <c r="H42" s="78" t="e">
        <f>+GETPIVOTDATA("SOBLIGACION",$B$41,"Mes","Enero")/GETPIVOTDATA(" APR. VIGENTE",$B$41,"Mes","Enero")</f>
        <v>#REF!</v>
      </c>
    </row>
    <row r="43" spans="1:18">
      <c r="B43" s="83" t="s">
        <v>136</v>
      </c>
      <c r="C43" s="85"/>
      <c r="F43" t="str">
        <f t="shared" si="14"/>
        <v>Febrero</v>
      </c>
      <c r="G43" s="78" t="e">
        <f>+GETPIVOTDATA("SCOMPROMISO",$B$41,"Mes","Febrero")/GETPIVOTDATA(" APR. VIGENTE",$B$41,"Mes","Febrero")</f>
        <v>#REF!</v>
      </c>
      <c r="H43" s="78" t="e">
        <f>+GETPIVOTDATA("SOBLIGACION",$B$41,"Mes","Febrero")/GETPIVOTDATA(" APR. VIGENTE",$B$41,"Mes","Febrero")</f>
        <v>#REF!</v>
      </c>
      <c r="M43" s="75"/>
      <c r="O43" s="78"/>
    </row>
    <row r="44" spans="1:18">
      <c r="B44" s="83" t="s">
        <v>137</v>
      </c>
      <c r="C44" s="85"/>
      <c r="F44" t="str">
        <f t="shared" si="14"/>
        <v>Marzo</v>
      </c>
      <c r="G44" s="78" t="e">
        <f>+GETPIVOTDATA("SCOMPROMISO",$B$41,"Mes","Marzo")/GETPIVOTDATA(" APR. VIGENTE",$B$41,"Mes","Marzo")</f>
        <v>#REF!</v>
      </c>
      <c r="H44" s="78" t="e">
        <f>+GETPIVOTDATA("SOBLIGACION",$B$41,"Mes","Marzo")/GETPIVOTDATA(" APR. VIGENTE",$B$41,"Mes","Marzo")</f>
        <v>#REF!</v>
      </c>
    </row>
    <row r="45" spans="1:18">
      <c r="B45" s="83" t="s">
        <v>140</v>
      </c>
      <c r="C45" s="85"/>
      <c r="F45" t="str">
        <f t="shared" si="14"/>
        <v>Abril</v>
      </c>
      <c r="G45" s="78" t="e">
        <f>+GETPIVOTDATA("SCOMPROMISO",$B$41,"Mes","Abril")/GETPIVOTDATA(" APR. VIGENTE",$B$41,"Mes","Abril")</f>
        <v>#REF!</v>
      </c>
      <c r="H45" s="78" t="e">
        <f>+GETPIVOTDATA("SOBLIGACION",$B$41,"Mes","Abril")/GETPIVOTDATA(" APR. VIGENTE",$B$41,"Mes","Abril")</f>
        <v>#REF!</v>
      </c>
    </row>
    <row r="46" spans="1:18">
      <c r="B46" s="83" t="s">
        <v>141</v>
      </c>
      <c r="C46" s="85"/>
      <c r="F46" t="str">
        <f t="shared" si="14"/>
        <v>Mayo</v>
      </c>
      <c r="G46" s="78" t="e">
        <f>+GETPIVOTDATA("SCOMPROMISO",$B$41,"Mes","Mayo")/GETPIVOTDATA(" APR. VIGENTE",$B$41,"Mes","Mayo")</f>
        <v>#REF!</v>
      </c>
      <c r="H46" s="78" t="e">
        <f>+GETPIVOTDATA("SOBLIGACION",$B$41,"Mes","Mayo")/GETPIVOTDATA(" APR. VIGENTE",$B$41,"Mes","Mayo")</f>
        <v>#REF!</v>
      </c>
    </row>
    <row r="47" spans="1:18">
      <c r="B47" s="83" t="s">
        <v>146</v>
      </c>
      <c r="C47" s="85"/>
      <c r="F47" t="str">
        <f t="shared" si="14"/>
        <v>Junio</v>
      </c>
      <c r="G47" s="78" t="e">
        <f>+GETPIVOTDATA("SCOMPROMISO",$B$41,"Mes","Junio")/GETPIVOTDATA(" APR. VIGENTE",$B$41,"Mes","Junio")</f>
        <v>#REF!</v>
      </c>
      <c r="H47" s="78" t="e">
        <f>+GETPIVOTDATA("SOBLIGACION",$B$41,"Mes","Junio")/GETPIVOTDATA(" APR. VIGENTE",$B$41,"Mes","Junio")</f>
        <v>#REF!</v>
      </c>
    </row>
    <row r="48" spans="1:18">
      <c r="B48" s="83" t="s">
        <v>147</v>
      </c>
      <c r="C48" s="85"/>
      <c r="F48" t="str">
        <f t="shared" si="14"/>
        <v>Julio</v>
      </c>
      <c r="G48" s="78" t="e">
        <f>+GETPIVOTDATA("SCOMPROMISO",$B$41,"Mes","Julio")/GETPIVOTDATA(" APR. VIGENTE",$B$41,"Mes","Julio")</f>
        <v>#REF!</v>
      </c>
      <c r="H48" s="78" t="e">
        <f>+GETPIVOTDATA("SOBLIGACION",$B$41,"Mes","Julio")/GETPIVOTDATA(" APR. VIGENTE",$B$41,"Mes","Julio")</f>
        <v>#REF!</v>
      </c>
    </row>
    <row r="49" spans="2:8">
      <c r="B49" s="83" t="s">
        <v>148</v>
      </c>
      <c r="C49" s="85"/>
      <c r="F49" t="str">
        <f t="shared" si="14"/>
        <v>Agosto</v>
      </c>
      <c r="G49" s="78" t="e">
        <f>+GETPIVOTDATA("SCOMPROMISO",$B$41,"Mes","Agosto")/GETPIVOTDATA(" APR. VIGENTE",$B$41,"Mes","Agosto")</f>
        <v>#REF!</v>
      </c>
      <c r="H49" s="78" t="e">
        <f>+GETPIVOTDATA("SOBLIGACION",$B$41,"Mes","Agosto")/GETPIVOTDATA(" APR. VIGENTE",$B$41,"Mes","Agosto")</f>
        <v>#REF!</v>
      </c>
    </row>
    <row r="50" spans="2:8">
      <c r="B50" s="83" t="s">
        <v>149</v>
      </c>
      <c r="C50" s="85"/>
      <c r="F50" t="str">
        <f t="shared" si="14"/>
        <v>Septiembre</v>
      </c>
      <c r="G50" s="78" t="e">
        <f>+GETPIVOTDATA("SCOMPROMISO",$B$41,"Mes","Septiembre")/GETPIVOTDATA(" APR. VIGENTE",$B$41,"Mes","Septiembre")</f>
        <v>#REF!</v>
      </c>
      <c r="H50" s="78" t="e">
        <f>+GETPIVOTDATA("SOBLIGACION",$B$41,"Mes","Septiembre")/GETPIVOTDATA(" APR. VIGENTE",$B$41,"Mes","Septiembre")</f>
        <v>#REF!</v>
      </c>
    </row>
    <row r="51" spans="2:8">
      <c r="B51" s="83" t="s">
        <v>150</v>
      </c>
      <c r="C51" s="85"/>
      <c r="F51" t="str">
        <f t="shared" si="14"/>
        <v>Octubre</v>
      </c>
      <c r="G51" s="78" t="e">
        <f>+GETPIVOTDATA("SCOMPROMISO",$B$41,"Mes","Octubre")/GETPIVOTDATA(" APR. VIGENTE",$B$41,"Mes","Octubre")</f>
        <v>#REF!</v>
      </c>
      <c r="H51" s="78" t="e">
        <f>+GETPIVOTDATA("SOBLIGACION",$B$41,"Mes","Octubre")/GETPIVOTDATA(" APR. VIGENTE",$B$41,"Mes","Octubre")</f>
        <v>#REF!</v>
      </c>
    </row>
    <row r="52" spans="2:8">
      <c r="B52" s="83" t="s">
        <v>151</v>
      </c>
      <c r="C52" s="85"/>
      <c r="F52" t="str">
        <f t="shared" si="14"/>
        <v>Noviembre</v>
      </c>
      <c r="G52" s="78" t="e">
        <f>+GETPIVOTDATA("SCOMPROMISO",$B$41,"Mes","Noviembre")/GETPIVOTDATA(" APR. VIGENTE",$B$41,"Mes","Noviembre")</f>
        <v>#REF!</v>
      </c>
      <c r="H52" s="78" t="e">
        <f>+GETPIVOTDATA("SOBLIGACION",$B$41,"Mes","Noviembre")/GETPIVOTDATA(" APR. VIGENTE",$B$41,"Mes","Noviembre")</f>
        <v>#REF!</v>
      </c>
    </row>
    <row r="53" spans="2:8">
      <c r="B53" s="83" t="s">
        <v>152</v>
      </c>
      <c r="C53" s="85"/>
      <c r="F53" t="str">
        <f t="shared" si="14"/>
        <v>Diciembre</v>
      </c>
      <c r="G53" s="78" t="e">
        <f>+GETPIVOTDATA("SCOMPROMISO",$B$41,"Mes","Diciembre")/GETPIVOTDATA(" APR. VIGENTE",$B$41,"Mes","Diciembre")</f>
        <v>#REF!</v>
      </c>
      <c r="H53" s="78" t="e">
        <f>+GETPIVOTDATA("SOBLIGACION",$B$41,"Mes","Diciembre")/GETPIVOTDATA(" APR. VIGENTE",$B$41,"Mes","Diciembre")</f>
        <v>#REF!</v>
      </c>
    </row>
    <row r="54" spans="2:8">
      <c r="B54" s="83" t="s">
        <v>170</v>
      </c>
      <c r="C54" s="85"/>
    </row>
    <row r="55" spans="2:8">
      <c r="B55" s="83" t="s">
        <v>138</v>
      </c>
      <c r="C55" s="87">
        <v>2814860723.8000002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143</v>
      </c>
    </row>
    <row r="4" spans="1:1">
      <c r="A4" s="86" t="s">
        <v>135</v>
      </c>
    </row>
    <row r="5" spans="1:1">
      <c r="A5" s="88" t="s">
        <v>171</v>
      </c>
    </row>
    <row r="6" spans="1:1">
      <c r="A6" s="86" t="s">
        <v>136</v>
      </c>
    </row>
    <row r="7" spans="1:1">
      <c r="A7" s="88" t="s">
        <v>171</v>
      </c>
    </row>
    <row r="8" spans="1:1">
      <c r="A8" s="86" t="s">
        <v>137</v>
      </c>
    </row>
    <row r="9" spans="1:1">
      <c r="A9" s="88" t="s">
        <v>171</v>
      </c>
    </row>
    <row r="10" spans="1:1">
      <c r="A10" s="86" t="s">
        <v>140</v>
      </c>
    </row>
    <row r="11" spans="1:1">
      <c r="A11" s="88" t="s">
        <v>171</v>
      </c>
    </row>
    <row r="12" spans="1:1">
      <c r="A12" s="86" t="s">
        <v>141</v>
      </c>
    </row>
    <row r="13" spans="1:1">
      <c r="A13" s="88" t="s">
        <v>171</v>
      </c>
    </row>
    <row r="14" spans="1:1">
      <c r="A14" s="86" t="s">
        <v>146</v>
      </c>
    </row>
    <row r="15" spans="1:1">
      <c r="A15" s="88" t="s">
        <v>171</v>
      </c>
    </row>
    <row r="16" spans="1:1">
      <c r="A16" s="86" t="s">
        <v>147</v>
      </c>
    </row>
    <row r="17" spans="1:1">
      <c r="A17" s="88" t="s">
        <v>171</v>
      </c>
    </row>
    <row r="18" spans="1:1">
      <c r="A18" s="86" t="s">
        <v>148</v>
      </c>
    </row>
    <row r="19" spans="1:1">
      <c r="A19" s="88" t="s">
        <v>171</v>
      </c>
    </row>
    <row r="20" spans="1:1">
      <c r="A20" s="86" t="s">
        <v>149</v>
      </c>
    </row>
    <row r="21" spans="1:1">
      <c r="A21" s="88" t="s">
        <v>171</v>
      </c>
    </row>
    <row r="22" spans="1:1">
      <c r="A22" s="86" t="s">
        <v>150</v>
      </c>
    </row>
    <row r="23" spans="1:1">
      <c r="A23" s="88" t="s">
        <v>171</v>
      </c>
    </row>
    <row r="24" spans="1:1">
      <c r="A24" s="86" t="s">
        <v>151</v>
      </c>
    </row>
    <row r="25" spans="1:1">
      <c r="A25" s="88" t="s">
        <v>171</v>
      </c>
    </row>
    <row r="26" spans="1:1">
      <c r="A26" s="86" t="s">
        <v>152</v>
      </c>
    </row>
    <row r="27" spans="1:1">
      <c r="A27" s="88" t="s">
        <v>171</v>
      </c>
    </row>
    <row r="28" spans="1:1">
      <c r="A28" s="86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153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154</v>
      </c>
      <c r="B3" s="34" t="s">
        <v>155</v>
      </c>
      <c r="C3" s="35" t="s">
        <v>135</v>
      </c>
      <c r="D3" s="35" t="s">
        <v>136</v>
      </c>
      <c r="E3" s="35" t="s">
        <v>137</v>
      </c>
      <c r="F3" s="35" t="s">
        <v>140</v>
      </c>
      <c r="G3" s="35" t="s">
        <v>141</v>
      </c>
      <c r="H3" s="36" t="s">
        <v>146</v>
      </c>
      <c r="I3" s="35" t="s">
        <v>147</v>
      </c>
      <c r="J3" s="35" t="s">
        <v>148</v>
      </c>
      <c r="K3" s="35" t="s">
        <v>149</v>
      </c>
      <c r="L3" s="35" t="s">
        <v>150</v>
      </c>
      <c r="M3" s="35" t="s">
        <v>151</v>
      </c>
      <c r="N3" s="35" t="s">
        <v>152</v>
      </c>
      <c r="O3" s="35" t="s">
        <v>135</v>
      </c>
      <c r="P3" s="35" t="s">
        <v>136</v>
      </c>
      <c r="Q3" s="35" t="s">
        <v>137</v>
      </c>
      <c r="R3" s="35" t="s">
        <v>140</v>
      </c>
      <c r="S3" s="35" t="s">
        <v>141</v>
      </c>
      <c r="T3" s="36" t="s">
        <v>146</v>
      </c>
      <c r="U3" s="35" t="s">
        <v>147</v>
      </c>
      <c r="V3" s="35" t="s">
        <v>148</v>
      </c>
      <c r="W3" s="35" t="s">
        <v>149</v>
      </c>
      <c r="X3" s="35" t="s">
        <v>150</v>
      </c>
      <c r="Y3" s="35" t="s">
        <v>151</v>
      </c>
      <c r="Z3" s="35" t="s">
        <v>152</v>
      </c>
    </row>
    <row r="4" spans="1:26" ht="15.75">
      <c r="A4" s="37" t="s">
        <v>156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157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158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159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160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161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162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163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164</v>
      </c>
      <c r="B12" s="34" t="s">
        <v>155</v>
      </c>
      <c r="C12" s="35" t="s">
        <v>135</v>
      </c>
      <c r="D12" s="35" t="s">
        <v>136</v>
      </c>
      <c r="E12" s="35" t="s">
        <v>137</v>
      </c>
      <c r="F12" s="35" t="s">
        <v>140</v>
      </c>
      <c r="G12" s="35" t="s">
        <v>141</v>
      </c>
      <c r="H12" s="36" t="s">
        <v>146</v>
      </c>
      <c r="I12" s="35" t="s">
        <v>147</v>
      </c>
      <c r="J12" s="35" t="s">
        <v>148</v>
      </c>
      <c r="K12" s="35" t="s">
        <v>149</v>
      </c>
      <c r="L12" s="35" t="s">
        <v>150</v>
      </c>
      <c r="M12" s="35" t="s">
        <v>151</v>
      </c>
      <c r="N12" s="35" t="s">
        <v>152</v>
      </c>
      <c r="O12" s="35" t="s">
        <v>135</v>
      </c>
      <c r="P12" s="35" t="s">
        <v>136</v>
      </c>
      <c r="Q12" s="35" t="s">
        <v>137</v>
      </c>
      <c r="R12" s="35" t="s">
        <v>140</v>
      </c>
      <c r="S12" s="35" t="s">
        <v>141</v>
      </c>
      <c r="T12" s="36" t="s">
        <v>146</v>
      </c>
      <c r="U12" s="35" t="s">
        <v>147</v>
      </c>
      <c r="V12" s="35" t="s">
        <v>148</v>
      </c>
      <c r="W12" s="35" t="s">
        <v>149</v>
      </c>
      <c r="X12" s="35" t="s">
        <v>150</v>
      </c>
      <c r="Y12" s="35" t="s">
        <v>151</v>
      </c>
      <c r="Z12" s="35" t="s">
        <v>152</v>
      </c>
    </row>
    <row r="13" spans="1:26" ht="15.75">
      <c r="A13" s="37" t="s">
        <v>156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157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158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159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160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161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165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163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166</v>
      </c>
      <c r="B21" s="34" t="s">
        <v>155</v>
      </c>
      <c r="C21" s="35" t="s">
        <v>135</v>
      </c>
      <c r="D21" s="35" t="s">
        <v>136</v>
      </c>
      <c r="E21" s="35" t="s">
        <v>137</v>
      </c>
      <c r="F21" s="35" t="s">
        <v>140</v>
      </c>
      <c r="G21" s="35" t="s">
        <v>141</v>
      </c>
      <c r="H21" s="36" t="s">
        <v>146</v>
      </c>
      <c r="I21" s="35" t="s">
        <v>147</v>
      </c>
      <c r="J21" s="35" t="s">
        <v>148</v>
      </c>
      <c r="K21" s="35" t="s">
        <v>149</v>
      </c>
      <c r="L21" s="35" t="s">
        <v>150</v>
      </c>
      <c r="M21" s="35" t="s">
        <v>151</v>
      </c>
      <c r="N21" s="35" t="s">
        <v>152</v>
      </c>
      <c r="O21" s="35" t="s">
        <v>135</v>
      </c>
      <c r="P21" s="35" t="s">
        <v>136</v>
      </c>
      <c r="Q21" s="35" t="s">
        <v>137</v>
      </c>
      <c r="R21" s="35" t="s">
        <v>140</v>
      </c>
      <c r="S21" s="35" t="s">
        <v>141</v>
      </c>
      <c r="T21" s="36" t="s">
        <v>146</v>
      </c>
      <c r="U21" s="35" t="s">
        <v>147</v>
      </c>
      <c r="V21" s="35" t="s">
        <v>148</v>
      </c>
      <c r="W21" s="35" t="s">
        <v>149</v>
      </c>
      <c r="X21" s="35" t="s">
        <v>150</v>
      </c>
      <c r="Y21" s="35" t="s">
        <v>151</v>
      </c>
      <c r="Z21" s="35" t="s">
        <v>152</v>
      </c>
    </row>
    <row r="22" spans="1:26" ht="15.75">
      <c r="A22" s="37" t="s">
        <v>156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157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158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159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160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161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165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163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153</v>
      </c>
      <c r="B31" s="34" t="s">
        <v>155</v>
      </c>
      <c r="C31" s="34" t="s">
        <v>135</v>
      </c>
      <c r="D31" s="34" t="s">
        <v>136</v>
      </c>
      <c r="E31" s="34" t="s">
        <v>137</v>
      </c>
      <c r="F31" s="34" t="s">
        <v>140</v>
      </c>
      <c r="G31" s="34" t="s">
        <v>141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4" t="s">
        <v>150</v>
      </c>
      <c r="M31" s="34" t="s">
        <v>151</v>
      </c>
      <c r="N31" s="34" t="s">
        <v>152</v>
      </c>
      <c r="O31" s="53" t="s">
        <v>135</v>
      </c>
      <c r="P31" s="53" t="s">
        <v>136</v>
      </c>
      <c r="Q31" s="53" t="s">
        <v>137</v>
      </c>
      <c r="R31" s="53" t="s">
        <v>140</v>
      </c>
      <c r="S31" s="53" t="s">
        <v>141</v>
      </c>
      <c r="T31" s="53" t="s">
        <v>146</v>
      </c>
      <c r="U31" s="53" t="s">
        <v>147</v>
      </c>
      <c r="V31" s="53" t="s">
        <v>148</v>
      </c>
      <c r="W31" s="53" t="s">
        <v>149</v>
      </c>
      <c r="X31" s="53" t="s">
        <v>150</v>
      </c>
      <c r="Y31" s="53" t="s">
        <v>151</v>
      </c>
      <c r="Z31" s="53" t="s">
        <v>152</v>
      </c>
    </row>
    <row r="32" spans="1:26" ht="15.75">
      <c r="A32" s="37" t="s">
        <v>156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157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158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159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160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161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162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163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164</v>
      </c>
      <c r="B40" s="34" t="s">
        <v>155</v>
      </c>
      <c r="C40" s="35" t="s">
        <v>135</v>
      </c>
      <c r="D40" s="35" t="s">
        <v>136</v>
      </c>
      <c r="E40" s="35" t="s">
        <v>137</v>
      </c>
      <c r="F40" s="35" t="s">
        <v>140</v>
      </c>
      <c r="G40" s="35" t="s">
        <v>141</v>
      </c>
      <c r="H40" s="35" t="s">
        <v>146</v>
      </c>
      <c r="I40" s="35" t="s">
        <v>147</v>
      </c>
      <c r="J40" s="35" t="s">
        <v>148</v>
      </c>
      <c r="K40" s="35" t="s">
        <v>149</v>
      </c>
      <c r="L40" s="35" t="s">
        <v>150</v>
      </c>
      <c r="M40" s="35" t="s">
        <v>151</v>
      </c>
      <c r="N40" s="35" t="s">
        <v>152</v>
      </c>
      <c r="O40" s="57" t="s">
        <v>135</v>
      </c>
      <c r="P40" s="57" t="s">
        <v>136</v>
      </c>
      <c r="Q40" s="57" t="s">
        <v>137</v>
      </c>
      <c r="R40" s="57" t="s">
        <v>140</v>
      </c>
      <c r="S40" s="57" t="s">
        <v>141</v>
      </c>
      <c r="T40" s="57" t="s">
        <v>146</v>
      </c>
      <c r="U40" s="57" t="s">
        <v>147</v>
      </c>
      <c r="V40" s="57" t="s">
        <v>148</v>
      </c>
      <c r="W40" s="57" t="s">
        <v>149</v>
      </c>
      <c r="X40" s="57" t="s">
        <v>150</v>
      </c>
      <c r="Y40" s="57" t="s">
        <v>151</v>
      </c>
      <c r="Z40" s="57" t="s">
        <v>152</v>
      </c>
    </row>
    <row r="41" spans="1:26" ht="15.75">
      <c r="A41" s="37" t="s">
        <v>156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157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158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159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160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161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165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163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167</v>
      </c>
      <c r="B49" s="34" t="s">
        <v>155</v>
      </c>
      <c r="C49" s="35" t="s">
        <v>135</v>
      </c>
      <c r="D49" s="35" t="s">
        <v>136</v>
      </c>
      <c r="E49" s="35" t="s">
        <v>137</v>
      </c>
      <c r="F49" s="35" t="s">
        <v>140</v>
      </c>
      <c r="G49" s="35" t="s">
        <v>141</v>
      </c>
      <c r="H49" s="35" t="s">
        <v>146</v>
      </c>
      <c r="I49" s="35" t="s">
        <v>147</v>
      </c>
      <c r="J49" s="35" t="s">
        <v>148</v>
      </c>
      <c r="K49" s="35" t="s">
        <v>149</v>
      </c>
      <c r="L49" s="35" t="s">
        <v>150</v>
      </c>
      <c r="M49" s="35" t="s">
        <v>151</v>
      </c>
      <c r="N49" s="35" t="s">
        <v>152</v>
      </c>
      <c r="O49" s="57" t="s">
        <v>135</v>
      </c>
      <c r="P49" s="57" t="s">
        <v>136</v>
      </c>
      <c r="Q49" s="57" t="s">
        <v>137</v>
      </c>
      <c r="R49" s="57" t="s">
        <v>140</v>
      </c>
      <c r="S49" s="57" t="s">
        <v>141</v>
      </c>
      <c r="T49" s="57" t="s">
        <v>146</v>
      </c>
      <c r="U49" s="57" t="s">
        <v>147</v>
      </c>
      <c r="V49" s="57" t="s">
        <v>148</v>
      </c>
      <c r="W49" s="57" t="s">
        <v>149</v>
      </c>
      <c r="X49" s="57" t="s">
        <v>150</v>
      </c>
      <c r="Y49" s="57" t="s">
        <v>151</v>
      </c>
      <c r="Z49" s="57" t="s">
        <v>152</v>
      </c>
    </row>
    <row r="50" spans="1:26" ht="15.75">
      <c r="A50" s="37" t="s">
        <v>156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157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158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159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160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161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165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163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47" t="s">
        <v>115</v>
      </c>
      <c r="D59" s="148"/>
      <c r="E59" s="148"/>
      <c r="F59" s="148"/>
      <c r="G59" s="148"/>
      <c r="H59" s="148"/>
      <c r="I59" s="148"/>
      <c r="J59" s="148"/>
      <c r="K59" s="148"/>
      <c r="L59" s="148"/>
    </row>
    <row r="60" spans="1:26" ht="47.25">
      <c r="C60" s="59">
        <v>20.239999999999998</v>
      </c>
      <c r="D60" s="60" t="s">
        <v>168</v>
      </c>
      <c r="E60" s="61" t="s">
        <v>176</v>
      </c>
      <c r="F60" s="61" t="s">
        <v>177</v>
      </c>
      <c r="G60" s="62">
        <v>2023</v>
      </c>
      <c r="H60" s="61" t="s">
        <v>178</v>
      </c>
      <c r="I60" s="61" t="s">
        <v>179</v>
      </c>
      <c r="J60" s="77" t="s">
        <v>171</v>
      </c>
      <c r="K60" s="61" t="s">
        <v>180</v>
      </c>
      <c r="L60" s="61" t="s">
        <v>181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171</v>
      </c>
      <c r="K61" s="39" t="e">
        <f>'BASE OBL-COM'!P4</f>
        <v>#DIV/0!</v>
      </c>
      <c r="L61" s="39" t="e">
        <f>'BASE OBL-COM'!Q4</f>
        <v>#DIV/0!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171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171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171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171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171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171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171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171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171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171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171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47" t="s">
        <v>169</v>
      </c>
      <c r="D74" s="148"/>
      <c r="E74" s="148"/>
      <c r="F74" s="148"/>
      <c r="G74" s="148"/>
      <c r="H74" s="148"/>
      <c r="I74" s="148"/>
      <c r="J74" s="148"/>
      <c r="K74" s="148"/>
      <c r="L74" s="148"/>
    </row>
    <row r="75" spans="3:14" ht="47.25">
      <c r="C75" s="59">
        <v>20.239999999999998</v>
      </c>
      <c r="D75" s="60" t="s">
        <v>168</v>
      </c>
      <c r="E75" s="61" t="s">
        <v>176</v>
      </c>
      <c r="F75" s="61" t="s">
        <v>177</v>
      </c>
      <c r="G75" s="62">
        <v>2023</v>
      </c>
      <c r="H75" s="61" t="s">
        <v>178</v>
      </c>
      <c r="I75" s="61" t="s">
        <v>179</v>
      </c>
      <c r="J75" s="77" t="s">
        <v>171</v>
      </c>
      <c r="K75" s="61" t="s">
        <v>180</v>
      </c>
      <c r="L75" s="61" t="s">
        <v>181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171</v>
      </c>
      <c r="K76" s="82" t="e">
        <f>'BASE OBL-COM'!P23</f>
        <v>#DIV/0!</v>
      </c>
      <c r="L76" s="82" t="e">
        <f>'BASE OBL-COM'!Q23</f>
        <v>#DIV/0!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171</v>
      </c>
      <c r="K77" s="82" t="e">
        <f>'BASE OBL-COM'!P24</f>
        <v>#DIV/0!</v>
      </c>
      <c r="L77" s="82" t="e">
        <f>'BASE OBL-COM'!Q24</f>
        <v>#DIV/0!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171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171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171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171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171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171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171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171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171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171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0.73504196598220839</v>
      </c>
      <c r="F88" s="68">
        <f>+Ejecucion!D11/Ejecucion!B11</f>
        <v>0.73504196598220839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6" t="s">
        <v>166</v>
      </c>
      <c r="D90" s="146"/>
      <c r="E90" s="146"/>
      <c r="F90" s="146"/>
      <c r="G90" s="146"/>
      <c r="H90" s="146"/>
      <c r="I90" s="146"/>
    </row>
    <row r="91" spans="3:14" ht="47.25">
      <c r="C91" s="59">
        <v>20.239999999999998</v>
      </c>
      <c r="D91" s="60" t="s">
        <v>168</v>
      </c>
      <c r="E91" s="61" t="s">
        <v>176</v>
      </c>
      <c r="F91" s="61" t="s">
        <v>177</v>
      </c>
      <c r="G91" s="62">
        <v>2023</v>
      </c>
      <c r="H91" s="61" t="s">
        <v>178</v>
      </c>
      <c r="I91" s="61" t="s">
        <v>179</v>
      </c>
      <c r="J91" s="77" t="s">
        <v>171</v>
      </c>
      <c r="K91" s="61" t="s">
        <v>180</v>
      </c>
      <c r="L91" s="61" t="s">
        <v>181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171</v>
      </c>
      <c r="K92" s="82" t="e">
        <f>'BASE OBL-COM'!G42</f>
        <v>#REF!</v>
      </c>
      <c r="L92" s="82" t="e">
        <f>'BASE OBL-COM'!H42</f>
        <v>#REF!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171</v>
      </c>
      <c r="K93" s="82" t="e">
        <f>'BASE OBL-COM'!G43</f>
        <v>#REF!</v>
      </c>
      <c r="L93" s="82" t="e">
        <f>'BASE OBL-COM'!H43</f>
        <v>#REF!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171</v>
      </c>
      <c r="K94" s="82" t="e">
        <f>'BASE OBL-COM'!G44</f>
        <v>#REF!</v>
      </c>
      <c r="L94" s="82" t="e">
        <f>'BASE OBL-COM'!H44</f>
        <v>#REF!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171</v>
      </c>
      <c r="K95" s="82" t="e">
        <f>'BASE OBL-COM'!G45</f>
        <v>#REF!</v>
      </c>
      <c r="L95" s="82" t="e">
        <f>'BASE OBL-COM'!H45</f>
        <v>#REF!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171</v>
      </c>
      <c r="K96" s="82" t="e">
        <f>'BASE OBL-COM'!G46</f>
        <v>#REF!</v>
      </c>
      <c r="L96" s="82" t="e">
        <f>'BASE OBL-COM'!H46</f>
        <v>#REF!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171</v>
      </c>
      <c r="K97" s="82" t="e">
        <f>'BASE OBL-COM'!G47</f>
        <v>#REF!</v>
      </c>
      <c r="L97" s="82" t="e">
        <f>'BASE OBL-COM'!H47</f>
        <v>#REF!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171</v>
      </c>
      <c r="K98" s="82" t="e">
        <f>'BASE OBL-COM'!G48</f>
        <v>#REF!</v>
      </c>
      <c r="L98" s="82" t="e">
        <f>'BASE OBL-COM'!H48</f>
        <v>#REF!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171</v>
      </c>
      <c r="K99" s="82" t="e">
        <f>'BASE OBL-COM'!G49</f>
        <v>#REF!</v>
      </c>
      <c r="L99" s="82" t="e">
        <f>'BASE OBL-COM'!H49</f>
        <v>#REF!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171</v>
      </c>
      <c r="K100" s="82" t="e">
        <f>'BASE OBL-COM'!G50</f>
        <v>#REF!</v>
      </c>
      <c r="L100" s="82" t="e">
        <f>'BASE OBL-COM'!H50</f>
        <v>#REF!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171</v>
      </c>
      <c r="K101" s="82" t="e">
        <f>'BASE OBL-COM'!G51</f>
        <v>#REF!</v>
      </c>
      <c r="L101" s="82" t="e">
        <f>'BASE OBL-COM'!H51</f>
        <v>#REF!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171</v>
      </c>
      <c r="K102" s="82" t="e">
        <f>'BASE OBL-COM'!G52</f>
        <v>#REF!</v>
      </c>
      <c r="L102" s="82" t="e">
        <f>'BASE OBL-COM'!H52</f>
        <v>#REF!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171</v>
      </c>
      <c r="K103" s="82" t="e">
        <f>'BASE OBL-COM'!G53</f>
        <v>#REF!</v>
      </c>
      <c r="L103" s="82" t="e">
        <f>'BASE OBL-COM'!H53</f>
        <v>#REF!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2024-07-02T21:45:44Z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