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workbookProtection workbookAlgorithmName="SHA-512" workbookHashValue="zkEih78JqCOTaeh19dBJJ9N46PWtMhD38fxz7kSp7h9EDnuFuElKRzpYTUnwV8130SM88YrAyRWQTpBX0AvEuQ==" workbookSaltValue="8ruQdbSrQ0FV6EUwcKmU/w==" workbookSpinCount="100000" lockStructure="1"/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18" r:id="rId8"/>
    <pivotCache cacheId="22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9" i="2"/>
  <c r="D7" i="2"/>
  <c r="G51" i="32"/>
  <c r="H46" i="32"/>
  <c r="H43" i="32"/>
  <c r="D16" i="2"/>
  <c r="C10" i="2"/>
  <c r="H47" i="32"/>
  <c r="B7" i="2"/>
  <c r="C7" i="2"/>
  <c r="B17" i="2"/>
  <c r="H49" i="32"/>
  <c r="D20" i="2"/>
  <c r="H52" i="32"/>
  <c r="G46" i="32"/>
  <c r="G50" i="32"/>
  <c r="C18" i="2"/>
  <c r="G44" i="32"/>
  <c r="B16" i="2"/>
  <c r="G49" i="32"/>
  <c r="B19" i="2"/>
  <c r="C9" i="2"/>
  <c r="C19" i="2"/>
  <c r="H53" i="32"/>
  <c r="G43" i="32"/>
  <c r="D17" i="2"/>
  <c r="G53" i="32"/>
  <c r="G47" i="32"/>
  <c r="C17" i="2"/>
  <c r="D19" i="2"/>
  <c r="D9" i="2"/>
  <c r="H50" i="32"/>
  <c r="D10" i="2"/>
  <c r="B10" i="2"/>
  <c r="C20" i="2"/>
  <c r="H44" i="32"/>
  <c r="B18" i="2"/>
  <c r="G45" i="32"/>
  <c r="G52" i="32"/>
  <c r="B20" i="2"/>
  <c r="H51" i="32"/>
  <c r="H42" i="32"/>
  <c r="H45" i="32"/>
  <c r="G48" i="32"/>
  <c r="H48" i="32"/>
  <c r="D18" i="2"/>
  <c r="C16" i="2"/>
  <c r="G42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<sst xmlns="http://schemas.openxmlformats.org/spreadsheetml/2006/main" count="2325" uniqueCount="212">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</sst>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left" vertical="center" wrapText="1" readingOrder="1"/>
    </xf>
    <xf numFmtId="0" fontId="24" fillId="0" borderId="6" xfId="0" applyNumberFormat="1" applyFont="1" applyFill="1" applyBorder="1" applyAlignment="1">
      <alignment vertical="center" wrapText="1" readingOrder="1"/>
    </xf>
    <xf numFmtId="164" fontId="24" fillId="0" borderId="6" xfId="0" applyNumberFormat="1" applyFont="1" applyFill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 applyAlignment="1"/>
    <xf numFmtId="0" fontId="35" fillId="3" borderId="0" xfId="0" applyFont="1" applyFill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62874884259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49540658210995853" maxValue="0.49540658210995853"/>
    </cacheField>
    <cacheField name="ACTUAL-OBLIGADO" numFmtId="168">
      <sharedItems containsMixedTypes="1" containsNumber="1" minValue="0.42997067110459819" maxValue="0.429970671104598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62874999997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72273003291"/>
    </cacheField>
    <cacheField name="APR. DISPONIBLE" numFmtId="0">
      <sharedItems containsString="0" containsBlank="1" containsNumber="1" minValue="0" maxValue="11436788955.24"/>
    </cacheField>
    <cacheField name="COMPROMISO" numFmtId="0">
      <sharedItems containsString="0" containsBlank="1" containsNumber="1" minValue="0" maxValue="37749636547"/>
    </cacheField>
    <cacheField name="OBLIGACION" numFmtId="0">
      <sharedItems containsString="0" containsBlank="1" containsNumber="1" minValue="0" maxValue="37667009840.900002"/>
    </cacheField>
    <cacheField name="ORDEN PAGO" numFmtId="0">
      <sharedItems containsString="0" containsBlank="1" containsNumber="1" minValue="0" maxValue="37639074320.900002"/>
    </cacheField>
    <cacheField name="PAGOS" numFmtId="0">
      <sharedItems containsString="0" containsBlank="1" containsNumber="1" minValue="0" maxValue="37639074320.90000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49540658210995853"/>
    <n v="0.42997067110459819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m/>
    <n v="72273003291"/>
    <n v="0"/>
    <n v="72273003291"/>
    <n v="0"/>
    <n v="37749636547"/>
    <n v="37667009840.900002"/>
    <n v="37639074320.900002"/>
    <n v="37639074320.900002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6998740519"/>
    <n v="0"/>
    <n v="12868086588"/>
    <n v="12868086588"/>
    <n v="12868086588"/>
    <n v="12868086588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0579019505"/>
    <n v="10550441151"/>
    <n v="10531262367"/>
    <n v="10531262367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42163401"/>
    <n v="42163401"/>
    <n v="42163401"/>
    <n v="42163401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10906996"/>
    <n v="10906996"/>
    <n v="10906996"/>
    <n v="10906996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8133495"/>
    <n v="8133495"/>
    <n v="8133495"/>
    <n v="8133495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470343420.799999"/>
    <n v="461823579.19999999"/>
    <n v="14957629130.610001"/>
    <n v="7755905882.5200005"/>
    <n v="7620392212.8900003"/>
    <n v="7620392212.8900003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324130375.80000001"/>
    <n v="188566097.80000001"/>
    <n v="188566097.80000001"/>
    <n v="188566097.80000001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52876877.609999999"/>
    <n v="370223122.38999999"/>
    <n v="52876877.609999999"/>
    <n v="52876877.609999999"/>
    <n v="52876877.609999999"/>
    <n v="52876877.609999999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3000000"/>
    <n v="467922000"/>
    <n v="0"/>
    <n v="82199875"/>
    <n v="385722125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80732152"/>
    <n v="176623702"/>
    <n v="176623702"/>
    <n v="176623702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1392062811"/>
    <n v="1652114189"/>
    <n v="1392062811"/>
    <n v="1392062811"/>
    <n v="1392062811"/>
    <n v="1392062811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7533765288.2399998"/>
    <n v="6116234711.7600002"/>
    <n v="7533765288.2399998"/>
    <n v="7533019429.4399996"/>
    <n v="7533019429.4399996"/>
    <n v="7533019429.4399996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746420640"/>
    <n v="1253579360"/>
    <n v="1652782745.0999999"/>
    <n v="1652782745.0999999"/>
    <n v="1642194745.0999999"/>
    <n v="1642194745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2925323240"/>
    <n v="2763752720"/>
    <n v="2740552720"/>
    <n v="2740552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171636704"/>
    <n v="529466629.62"/>
    <n v="529466629.62"/>
    <n v="529466629.62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230466812"/>
    <n v="7623188"/>
    <n v="230466812"/>
    <n v="230405776"/>
    <n v="230405776"/>
    <n v="23040577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330541014.0100002"/>
    <n v="136803330.99000001"/>
    <n v="4289281297.0100002"/>
    <n v="2000591909.99"/>
    <n v="1971901909.99"/>
    <n v="1971901909.99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13369361495.76"/>
    <n v="11436788955.24"/>
    <n v="8323713425.1499996"/>
    <n v="3470098418.9099998"/>
    <n v="3330227772.46"/>
    <n v="3330227772.46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2495736666.6599998"/>
    <n v="540226169.34000003"/>
    <n v="100736666.66"/>
    <n v="25293333.329999998"/>
    <n v="25293333.329999998"/>
    <n v="25293333.329999998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2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8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2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0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4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5" cacheId="22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6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L19" sqref="L19"/>
    </sheetView>
  </sheetViews>
  <sheetFormatPr baseColWidth="10" defaultRowHeight="15"/>
  <cols>
    <col min="1" max="1" width="66.44140625" style="94" customWidth="1"/>
    <col min="2" max="4" width="19.5546875" style="108" customWidth="1"/>
    <col min="5" max="5" width="23.5546875" style="108" customWidth="1"/>
    <col min="6" max="6" width="19.6640625" style="94" customWidth="1"/>
    <col min="7" max="7" width="17.77734375" style="94" customWidth="1"/>
    <col min="8" max="16384" width="11.5546875" style="94"/>
  </cols>
  <sheetData>
    <row r="2" spans="1:12" s="131" customFormat="1" ht="39.75" customHeight="1">
      <c r="A2" s="134" t="s">
        <v>211</v>
      </c>
      <c r="B2" s="134"/>
      <c r="C2" s="134"/>
      <c r="D2" s="134"/>
      <c r="E2" s="134"/>
      <c r="F2" s="134"/>
      <c r="G2" s="134"/>
      <c r="H2" s="130"/>
      <c r="I2" s="130"/>
      <c r="J2" s="130"/>
      <c r="K2" s="130"/>
      <c r="L2" s="130"/>
    </row>
    <row r="3" spans="1:12" ht="24" customHeight="1">
      <c r="A3" s="135" t="s">
        <v>131</v>
      </c>
      <c r="B3" s="135"/>
      <c r="C3" s="135"/>
      <c r="D3" s="135"/>
      <c r="E3" s="135"/>
      <c r="F3" s="135"/>
      <c r="G3" s="135"/>
    </row>
    <row r="4" spans="1:12" ht="31.5">
      <c r="A4" s="95" t="s">
        <v>107</v>
      </c>
      <c r="B4" s="96" t="s">
        <v>108</v>
      </c>
      <c r="C4" s="96" t="s">
        <v>109</v>
      </c>
      <c r="D4" s="96" t="s">
        <v>110</v>
      </c>
      <c r="E4" s="96" t="s">
        <v>111</v>
      </c>
      <c r="F4" s="97" t="s">
        <v>112</v>
      </c>
      <c r="G4" s="98" t="s">
        <v>113</v>
      </c>
    </row>
    <row r="5" spans="1:12" ht="15.75">
      <c r="A5" s="99"/>
      <c r="B5" s="96">
        <v>-1</v>
      </c>
      <c r="C5" s="96">
        <v>-2</v>
      </c>
      <c r="D5" s="96">
        <v>-3</v>
      </c>
      <c r="E5" s="96" t="s">
        <v>114</v>
      </c>
      <c r="F5" s="97" t="s">
        <v>115</v>
      </c>
      <c r="G5" s="98" t="s">
        <v>116</v>
      </c>
    </row>
    <row r="6" spans="1:12" ht="36">
      <c r="A6" s="100" t="s">
        <v>117</v>
      </c>
      <c r="B6" s="111">
        <f t="shared" ref="B6:G6" si="0">+B7</f>
        <v>4467344345</v>
      </c>
      <c r="C6" s="111">
        <f t="shared" si="0"/>
        <v>4289281297.0100002</v>
      </c>
      <c r="D6" s="111">
        <f t="shared" si="0"/>
        <v>2000591909.99</v>
      </c>
      <c r="E6" s="111">
        <f t="shared" si="0"/>
        <v>178063047.98999977</v>
      </c>
      <c r="F6" s="112">
        <f t="shared" si="0"/>
        <v>0.96014118585031538</v>
      </c>
      <c r="G6" s="112">
        <f t="shared" si="0"/>
        <v>0.44782576750080366</v>
      </c>
    </row>
    <row r="7" spans="1:12" ht="57">
      <c r="A7" s="101" t="s">
        <v>118</v>
      </c>
      <c r="B7" s="113">
        <f>GETPIVOTDATA("Suma de APR. VIGENTE",CRIS!$A$3,"CM - A","C3")</f>
        <v>4467344345</v>
      </c>
      <c r="C7" s="113">
        <f>GETPIVOTDATA("Suma de COMPROMISO",CRIS!$A$3,"CM - A","C3")</f>
        <v>4289281297.0100002</v>
      </c>
      <c r="D7" s="113">
        <f>GETPIVOTDATA("Suma de OBLIGACION",CRIS!$A$3,"CM - A","C3")</f>
        <v>2000591909.99</v>
      </c>
      <c r="E7" s="114">
        <f>+B7-C7</f>
        <v>178063047.98999977</v>
      </c>
      <c r="F7" s="115">
        <f>+C7/B7</f>
        <v>0.96014118585031538</v>
      </c>
      <c r="G7" s="116">
        <f>+D7/B7</f>
        <v>0.44782576750080366</v>
      </c>
    </row>
    <row r="8" spans="1:12" ht="36">
      <c r="A8" s="100" t="s">
        <v>119</v>
      </c>
      <c r="B8" s="111">
        <f>SUM(B9:B10)</f>
        <v>27842113287</v>
      </c>
      <c r="C8" s="111">
        <f>SUM(C9:C10)</f>
        <v>8424450091.8099995</v>
      </c>
      <c r="D8" s="111">
        <f>SUM(D9:D10)</f>
        <v>3495391752.2399998</v>
      </c>
      <c r="E8" s="111">
        <f>SUM(E9:E10)</f>
        <v>19417663195.190002</v>
      </c>
      <c r="F8" s="117">
        <f>+C8/B8</f>
        <v>0.30257940569990899</v>
      </c>
      <c r="G8" s="118">
        <f>+D8/B8</f>
        <v>0.12554333488299046</v>
      </c>
    </row>
    <row r="9" spans="1:12" ht="57">
      <c r="A9" s="102" t="s">
        <v>205</v>
      </c>
      <c r="B9" s="113">
        <f>GETPIVOTDATA("Suma de APR. VIGENTE",CRIS!$A$3,"CM - A","C11")</f>
        <v>24806150451</v>
      </c>
      <c r="C9" s="113">
        <f>GETPIVOTDATA("Suma de COMPROMISO",CRIS!$A$3,"CM - A","C11")</f>
        <v>8323713425.1499996</v>
      </c>
      <c r="D9" s="113">
        <f>GETPIVOTDATA("Suma de OBLIGACION",CRIS!$A$3,"CM - A","C11")</f>
        <v>3470098418.9099998</v>
      </c>
      <c r="E9" s="113">
        <f>+B9-C9</f>
        <v>16482437025.85</v>
      </c>
      <c r="F9" s="115">
        <f>+C9/B9</f>
        <v>0.33555038866639014</v>
      </c>
      <c r="G9" s="119">
        <f>+D9/B9</f>
        <v>0.13988863067506355</v>
      </c>
    </row>
    <row r="10" spans="1:12" ht="57.75" thickBot="1">
      <c r="A10" s="102" t="s">
        <v>204</v>
      </c>
      <c r="B10" s="113">
        <f>GETPIVOTDATA("Suma de APR. VIGENTE",CRIS!$A$3,"CM - A","C12")</f>
        <v>3035962836</v>
      </c>
      <c r="C10" s="113">
        <f>GETPIVOTDATA("Suma de COMPROMISO",CRIS!$A$3,"CM - A","C12")</f>
        <v>100736666.66</v>
      </c>
      <c r="D10" s="113">
        <f>GETPIVOTDATA("Suma de OBLIGACION",CRIS!$A$3,"CM - A","C12")</f>
        <v>25293333.329999998</v>
      </c>
      <c r="E10" s="113">
        <f>+B10-C10</f>
        <v>2935226169.3400002</v>
      </c>
      <c r="F10" s="115">
        <f>+C10/B10</f>
        <v>3.3181126417451308E-2</v>
      </c>
      <c r="G10" s="119">
        <f>+D10/B10</f>
        <v>8.3312394440654466E-3</v>
      </c>
    </row>
    <row r="11" spans="1:12" ht="37.5" customHeight="1" thickBot="1">
      <c r="A11" s="103" t="s">
        <v>120</v>
      </c>
      <c r="B11" s="111">
        <f>+B6+B8</f>
        <v>32309457632</v>
      </c>
      <c r="C11" s="111">
        <f>+C6+C8</f>
        <v>12713731388.82</v>
      </c>
      <c r="D11" s="111">
        <f>+D6+D8</f>
        <v>5495983662.2299995</v>
      </c>
      <c r="E11" s="111">
        <f>+E6+E8</f>
        <v>19595726243.18</v>
      </c>
      <c r="F11" s="117">
        <f>+C11/B11</f>
        <v>0.39349875611121493</v>
      </c>
      <c r="G11" s="118">
        <f>+D11/B11</f>
        <v>0.17010448534384112</v>
      </c>
    </row>
    <row r="12" spans="1:12" ht="24">
      <c r="A12" s="132" t="s">
        <v>121</v>
      </c>
      <c r="B12" s="133"/>
      <c r="C12" s="133"/>
      <c r="D12" s="133"/>
      <c r="E12" s="133"/>
      <c r="F12" s="133"/>
      <c r="G12" s="133"/>
    </row>
    <row r="13" spans="1:12" ht="31.5">
      <c r="A13" s="95" t="s">
        <v>122</v>
      </c>
      <c r="B13" s="96" t="s">
        <v>108</v>
      </c>
      <c r="C13" s="96" t="s">
        <v>109</v>
      </c>
      <c r="D13" s="96" t="s">
        <v>110</v>
      </c>
      <c r="E13" s="96" t="s">
        <v>111</v>
      </c>
      <c r="F13" s="97" t="s">
        <v>112</v>
      </c>
      <c r="G13" s="98" t="s">
        <v>113</v>
      </c>
    </row>
    <row r="14" spans="1:12" ht="15.75">
      <c r="A14" s="95"/>
      <c r="B14" s="96">
        <v>-1</v>
      </c>
      <c r="C14" s="96">
        <v>-2</v>
      </c>
      <c r="D14" s="96">
        <v>-3</v>
      </c>
      <c r="E14" s="96" t="s">
        <v>114</v>
      </c>
      <c r="F14" s="97" t="s">
        <v>115</v>
      </c>
      <c r="G14" s="98" t="s">
        <v>116</v>
      </c>
    </row>
    <row r="15" spans="1:12" ht="24">
      <c r="A15" s="104" t="s">
        <v>123</v>
      </c>
      <c r="B15" s="120">
        <f>SUM(B16:B20)</f>
        <v>167459097000</v>
      </c>
      <c r="C15" s="120">
        <f>SUM(C16:C20)</f>
        <v>93799812768.360001</v>
      </c>
      <c r="D15" s="120">
        <f>SUM(D16:D20)</f>
        <v>83442664242.98999</v>
      </c>
      <c r="E15" s="120">
        <f>SUM(E16:E20)</f>
        <v>73659284231.639999</v>
      </c>
      <c r="F15" s="121">
        <f t="shared" ref="F15:F21" si="1">+C15/B15</f>
        <v>0.56013566565667083</v>
      </c>
      <c r="G15" s="122">
        <f t="shared" ref="G15:G21" si="2">+D15/B15</f>
        <v>0.49828683981850203</v>
      </c>
    </row>
    <row r="16" spans="1:12" ht="23.25">
      <c r="A16" s="105" t="s">
        <v>124</v>
      </c>
      <c r="B16" s="123">
        <f>GETPIVOTDATA("Suma de APR. VIGENTE",CRIS!$A$3,"CM - A","A01")</f>
        <v>120100224000</v>
      </c>
      <c r="C16" s="123">
        <f>GETPIVOTDATA("Suma de COMPROMISO",CRIS!$A$3,"CM - A","A01")</f>
        <v>61257946532</v>
      </c>
      <c r="D16" s="123">
        <f>GETPIVOTDATA("Suma de OBLIGACION",CRIS!$A$3,"CM - A","A01")</f>
        <v>61146741471.900002</v>
      </c>
      <c r="E16" s="113">
        <f>+B16-C16</f>
        <v>58842277468</v>
      </c>
      <c r="F16" s="115">
        <f t="shared" si="1"/>
        <v>0.5100568882535973</v>
      </c>
      <c r="G16" s="119">
        <f t="shared" si="2"/>
        <v>0.50913095276075426</v>
      </c>
    </row>
    <row r="17" spans="1:7" ht="23.25">
      <c r="A17" s="105" t="s">
        <v>125</v>
      </c>
      <c r="B17" s="123">
        <f>GETPIVOTDATA("Suma de APR. VIGENTE",CRIS!$A$3,"CM - A","A02")</f>
        <v>17932167000</v>
      </c>
      <c r="C17" s="123">
        <f>GETPIVOTDATA("Suma de COMPROMISO",CRIS!$A$3,"CM - A","A02")</f>
        <v>14957629130.610001</v>
      </c>
      <c r="D17" s="123">
        <f>GETPIVOTDATA("Suma de OBLIGACION",CRIS!$A$3,"CM - A","A02")</f>
        <v>7755905882.5200005</v>
      </c>
      <c r="E17" s="113">
        <f>+B17-C17</f>
        <v>2974537869.3899994</v>
      </c>
      <c r="F17" s="115">
        <f t="shared" si="1"/>
        <v>0.83412278787109229</v>
      </c>
      <c r="G17" s="119">
        <f t="shared" si="2"/>
        <v>0.4325135875948512</v>
      </c>
    </row>
    <row r="18" spans="1:7" ht="23.25">
      <c r="A18" s="105" t="s">
        <v>126</v>
      </c>
      <c r="B18" s="123">
        <f>GETPIVOTDATA("Suma de APR. VIGENTE",CRIS!$A$3,"CM - A","A03")</f>
        <v>25368816000</v>
      </c>
      <c r="C18" s="123">
        <f>GETPIVOTDATA("Suma de COMPROMISO",CRIS!$A$3,"CM - A","A03")</f>
        <v>14181173489.75</v>
      </c>
      <c r="D18" s="123">
        <f>GETPIVOTDATA("Suma de OBLIGACION",CRIS!$A$3,"CM - A","A03")</f>
        <v>13779184382.950001</v>
      </c>
      <c r="E18" s="113">
        <f>+B18-C18</f>
        <v>11187642510.25</v>
      </c>
      <c r="F18" s="115">
        <f t="shared" si="1"/>
        <v>0.55900021072130446</v>
      </c>
      <c r="G18" s="119">
        <f t="shared" si="2"/>
        <v>0.54315441378698959</v>
      </c>
    </row>
    <row r="19" spans="1:7" ht="23.25">
      <c r="A19" s="105" t="s">
        <v>127</v>
      </c>
      <c r="B19" s="123">
        <f>GETPIVOTDATA("Suma de APR. VIGENTE",CRIS!$A$3,"CM - A","A06")</f>
        <v>3388600000</v>
      </c>
      <c r="C19" s="123">
        <f>GETPIVOTDATA("Suma de COMPROMISO",CRIS!$A$3,"CM - A","A06")</f>
        <v>3171636704</v>
      </c>
      <c r="D19" s="123">
        <f>GETPIVOTDATA("Suma de OBLIGACION",CRIS!$A$3,"CM - A","A06")</f>
        <v>529466629.62</v>
      </c>
      <c r="E19" s="113">
        <f>+B19-C19</f>
        <v>216963296</v>
      </c>
      <c r="F19" s="115">
        <f t="shared" si="1"/>
        <v>0.93597258572861952</v>
      </c>
      <c r="G19" s="119">
        <f t="shared" si="2"/>
        <v>0.15624937426075666</v>
      </c>
    </row>
    <row r="20" spans="1:7" ht="24" thickBot="1">
      <c r="A20" s="105" t="s">
        <v>128</v>
      </c>
      <c r="B20" s="123">
        <f>GETPIVOTDATA("Suma de APR. VIGENTE",CRIS!$A$3,"CM - A","A08")</f>
        <v>669290000</v>
      </c>
      <c r="C20" s="123">
        <f>GETPIVOTDATA("Suma de COMPROMISO",CRIS!$A$3,"CM - A","A08")</f>
        <v>231426912</v>
      </c>
      <c r="D20" s="123">
        <f>GETPIVOTDATA("Suma de OBLIGACION",CRIS!$A$3,"CM - A","A08")</f>
        <v>231365876</v>
      </c>
      <c r="E20" s="113">
        <f>+B20-C20</f>
        <v>437863088</v>
      </c>
      <c r="F20" s="115">
        <f t="shared" si="1"/>
        <v>0.34577972478297897</v>
      </c>
      <c r="G20" s="119">
        <f t="shared" si="2"/>
        <v>0.34568852963588281</v>
      </c>
    </row>
    <row r="21" spans="1:7" ht="21" thickBot="1">
      <c r="A21" s="106" t="s">
        <v>129</v>
      </c>
      <c r="B21" s="124">
        <f>SUM(B16:B20)</f>
        <v>167459097000</v>
      </c>
      <c r="C21" s="124">
        <f>SUM(C16:C20)</f>
        <v>93799812768.360001</v>
      </c>
      <c r="D21" s="124">
        <f>SUM(D16:D20)</f>
        <v>83442664242.98999</v>
      </c>
      <c r="E21" s="124">
        <f>SUM(E16:E20)</f>
        <v>73659284231.639999</v>
      </c>
      <c r="F21" s="125">
        <f t="shared" si="1"/>
        <v>0.56013566565667083</v>
      </c>
      <c r="G21" s="125">
        <f t="shared" si="2"/>
        <v>0.49828683981850203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130</v>
      </c>
      <c r="B23" s="124">
        <f>+B21+B11</f>
        <v>199768554632</v>
      </c>
      <c r="C23" s="124">
        <f>+C21+C11</f>
        <v>106513544157.17999</v>
      </c>
      <c r="D23" s="124">
        <f>+D21+D11</f>
        <v>88938647905.219986</v>
      </c>
      <c r="E23" s="124">
        <f>+E21+E11</f>
        <v>93255010474.820007</v>
      </c>
      <c r="F23" s="125">
        <f>+C23/B23</f>
        <v>0.53318473647362552</v>
      </c>
      <c r="G23" s="125">
        <f>+D23/B23</f>
        <v>0.44520844669000431</v>
      </c>
    </row>
    <row r="30" spans="1:7">
      <c r="F30" s="109"/>
    </row>
    <row r="31" spans="1:7">
      <c r="F31" s="11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91" t="s">
        <v>158</v>
      </c>
      <c r="B3" s="23" t="s">
        <v>149</v>
      </c>
      <c r="C3" s="23" t="s">
        <v>150</v>
      </c>
      <c r="D3" s="23" t="s">
        <v>151</v>
      </c>
      <c r="G3" s="129">
        <f ca="1">TODAY()</f>
        <v>45505</v>
      </c>
      <c r="H3" s="83" t="str">
        <f ca="1">TEXT(G3,"MMMM")</f>
        <v>agosto</v>
      </c>
      <c r="I3" s="129"/>
    </row>
    <row r="4" spans="1:9">
      <c r="A4" s="92"/>
      <c r="B4" s="93"/>
      <c r="C4" s="93"/>
      <c r="D4" s="93"/>
      <c r="G4" s="83" t="s">
        <v>209</v>
      </c>
      <c r="H4" s="83"/>
      <c r="I4" s="83"/>
    </row>
    <row r="5" spans="1:9">
      <c r="A5" s="92" t="s">
        <v>137</v>
      </c>
      <c r="B5" s="93">
        <v>120100224000</v>
      </c>
      <c r="C5" s="93">
        <v>61257946532</v>
      </c>
      <c r="D5" s="93">
        <v>61146741471.900002</v>
      </c>
      <c r="G5" s="83" t="s">
        <v>210</v>
      </c>
      <c r="H5" s="83"/>
      <c r="I5" s="83"/>
    </row>
    <row r="6" spans="1:9">
      <c r="A6" s="92" t="s">
        <v>138</v>
      </c>
      <c r="B6" s="93">
        <v>17932167000</v>
      </c>
      <c r="C6" s="93">
        <v>14957629130.610001</v>
      </c>
      <c r="D6" s="93">
        <v>7755905882.5200005</v>
      </c>
      <c r="G6" s="83" t="str">
        <f ca="1">CONCATENATE(G4," ",H3," ",G5)</f>
        <v xml:space="preserve">EJECUCIÓN PRESUPUESTAL  agosto 2024 ( Millones) </v>
      </c>
      <c r="H6" s="83"/>
      <c r="I6" s="83"/>
    </row>
    <row r="7" spans="1:9">
      <c r="A7" s="92" t="s">
        <v>139</v>
      </c>
      <c r="B7" s="93">
        <v>25368816000</v>
      </c>
      <c r="C7" s="93">
        <v>14181173489.75</v>
      </c>
      <c r="D7" s="93">
        <v>13779184382.950001</v>
      </c>
    </row>
    <row r="8" spans="1:9">
      <c r="A8" s="92" t="s">
        <v>140</v>
      </c>
      <c r="B8" s="93">
        <v>3388600000</v>
      </c>
      <c r="C8" s="93">
        <v>3171636704</v>
      </c>
      <c r="D8" s="93">
        <v>529466629.62</v>
      </c>
    </row>
    <row r="9" spans="1:9">
      <c r="A9" s="92" t="s">
        <v>143</v>
      </c>
      <c r="B9" s="93">
        <v>669290000</v>
      </c>
      <c r="C9" s="93">
        <v>231426912</v>
      </c>
      <c r="D9" s="93">
        <v>231365876</v>
      </c>
    </row>
    <row r="10" spans="1:9" ht="15.75">
      <c r="A10" s="92" t="s">
        <v>155</v>
      </c>
      <c r="B10" s="93">
        <v>24806150451</v>
      </c>
      <c r="C10" s="93">
        <v>8323713425.1499996</v>
      </c>
      <c r="D10" s="93">
        <v>3470098418.9099998</v>
      </c>
      <c r="G10" s="14"/>
    </row>
    <row r="11" spans="1:9">
      <c r="A11" s="92" t="s">
        <v>156</v>
      </c>
      <c r="B11" s="93">
        <v>3035962836</v>
      </c>
      <c r="C11" s="93">
        <v>100736666.66</v>
      </c>
      <c r="D11" s="93">
        <v>25293333.329999998</v>
      </c>
    </row>
    <row r="12" spans="1:9">
      <c r="A12" s="92" t="s">
        <v>154</v>
      </c>
      <c r="B12" s="93">
        <v>4467344345</v>
      </c>
      <c r="C12" s="93">
        <v>4289281297.0100002</v>
      </c>
      <c r="D12" s="93">
        <v>2000591909.99</v>
      </c>
    </row>
    <row r="13" spans="1:9">
      <c r="A13" s="92" t="s">
        <v>148</v>
      </c>
      <c r="B13" s="93">
        <v>199768554632</v>
      </c>
      <c r="C13" s="93">
        <v>106513544157.17999</v>
      </c>
      <c r="D13" s="93">
        <v>88938647905.220001</v>
      </c>
    </row>
    <row r="14" spans="1:9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C1" zoomScale="80" zoomScaleNormal="80" workbookViewId="0">
      <pane ySplit="1" topLeftCell="A23" activePane="bottomLeft" state="frozen"/>
      <selection activeCell="B1" sqref="B1"/>
      <selection pane="bottomLeft" activeCell="E49" sqref="E49"/>
    </sheetView>
  </sheetViews>
  <sheetFormatPr baseColWidth="10" defaultRowHeight="15" zeroHeight="1"/>
  <cols>
    <col min="1" max="1" width="9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4.33203125" style="24" customWidth="1"/>
    <col min="20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8343068291</v>
      </c>
      <c r="T2" s="20"/>
      <c r="U2" s="21">
        <v>72273003291</v>
      </c>
      <c r="V2" s="20">
        <v>0</v>
      </c>
      <c r="W2" s="20">
        <v>72273003291</v>
      </c>
      <c r="X2" s="20">
        <v>0</v>
      </c>
      <c r="Y2" s="20">
        <v>37749636547</v>
      </c>
      <c r="Z2" s="20">
        <v>37667009840.900002</v>
      </c>
      <c r="AA2" s="22">
        <v>37639074320.900002</v>
      </c>
      <c r="AB2" s="22">
        <v>37639074320.900002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2505369519</v>
      </c>
      <c r="T3" s="20">
        <v>0</v>
      </c>
      <c r="U3" s="21">
        <v>26998740519</v>
      </c>
      <c r="V3" s="20">
        <v>0</v>
      </c>
      <c r="W3" s="20">
        <v>26998740519</v>
      </c>
      <c r="X3" s="20">
        <v>0</v>
      </c>
      <c r="Y3" s="20">
        <v>12868086588</v>
      </c>
      <c r="Z3" s="20">
        <v>12868086588</v>
      </c>
      <c r="AA3" s="22">
        <v>12868086588</v>
      </c>
      <c r="AB3" s="22">
        <v>12868086588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410385190</v>
      </c>
      <c r="T4" s="20">
        <v>0</v>
      </c>
      <c r="U4" s="21">
        <v>20424619190</v>
      </c>
      <c r="V4" s="20">
        <v>0</v>
      </c>
      <c r="W4" s="20">
        <v>20424619190</v>
      </c>
      <c r="X4" s="20">
        <v>0</v>
      </c>
      <c r="Y4" s="20">
        <v>10579019505</v>
      </c>
      <c r="Z4" s="20">
        <v>10550441151</v>
      </c>
      <c r="AA4" s="22">
        <v>10531262367</v>
      </c>
      <c r="AB4" s="22">
        <v>10531262367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11258823000</v>
      </c>
      <c r="U5" s="21">
        <v>122543000</v>
      </c>
      <c r="V5" s="20">
        <v>122543000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42163401</v>
      </c>
      <c r="Z6" s="20">
        <v>42163401</v>
      </c>
      <c r="AA6" s="22">
        <v>42163401</v>
      </c>
      <c r="AB6" s="22">
        <v>42163401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10906996</v>
      </c>
      <c r="Z7" s="20">
        <v>10906996</v>
      </c>
      <c r="AA7" s="22">
        <v>10906996</v>
      </c>
      <c r="AB7" s="22">
        <v>10906996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8133495</v>
      </c>
      <c r="Z8" s="20">
        <v>8133495</v>
      </c>
      <c r="AA8" s="22">
        <v>8133495</v>
      </c>
      <c r="AB8" s="22">
        <v>8133495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2000000000</v>
      </c>
      <c r="T9" s="20">
        <v>0</v>
      </c>
      <c r="U9" s="20">
        <v>17932167000</v>
      </c>
      <c r="V9" s="20">
        <v>0</v>
      </c>
      <c r="W9" s="20">
        <v>17470343420.799999</v>
      </c>
      <c r="X9" s="20">
        <v>461823579.19999999</v>
      </c>
      <c r="Y9" s="20">
        <v>14957629130.610001</v>
      </c>
      <c r="Z9" s="20">
        <v>7755905882.5200005</v>
      </c>
      <c r="AA9" s="22">
        <v>7620392212.8900003</v>
      </c>
      <c r="AB9" s="22">
        <v>7620392212.8900003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700000000</v>
      </c>
      <c r="W10" s="20">
        <v>559000000</v>
      </c>
      <c r="X10" s="20">
        <v>0</v>
      </c>
      <c r="Y10" s="20">
        <v>324130375.80000001</v>
      </c>
      <c r="Z10" s="20">
        <v>188566097.80000001</v>
      </c>
      <c r="AA10" s="22">
        <v>188566097.80000001</v>
      </c>
      <c r="AB10" s="22">
        <v>188566097.80000001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2000000000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52876877.609999999</v>
      </c>
      <c r="X12" s="20">
        <v>370223122.38999999</v>
      </c>
      <c r="Y12" s="20">
        <v>52876877.609999999</v>
      </c>
      <c r="Z12" s="20">
        <v>52876877.609999999</v>
      </c>
      <c r="AA12" s="22">
        <v>52876877.609999999</v>
      </c>
      <c r="AB12" s="22">
        <v>52876877.609999999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3000000</v>
      </c>
      <c r="U13" s="20">
        <v>467922000</v>
      </c>
      <c r="V13" s="20">
        <v>0</v>
      </c>
      <c r="W13" s="20">
        <v>82199875</v>
      </c>
      <c r="X13" s="20">
        <v>385722125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280732152</v>
      </c>
      <c r="Z14" s="20">
        <v>176623702</v>
      </c>
      <c r="AA14" s="22">
        <v>176623702</v>
      </c>
      <c r="AB14" s="22">
        <v>176623702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19500000</v>
      </c>
      <c r="Z15" s="20">
        <v>19500000</v>
      </c>
      <c r="AA15" s="22">
        <v>19500000</v>
      </c>
      <c r="AB15" s="22">
        <v>19500000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1392062811</v>
      </c>
      <c r="X16" s="20">
        <v>1652114189</v>
      </c>
      <c r="Y16" s="20">
        <v>1392062811</v>
      </c>
      <c r="Z16" s="20">
        <v>1392062811</v>
      </c>
      <c r="AA16" s="22">
        <v>1392062811</v>
      </c>
      <c r="AB16" s="22">
        <v>1392062811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7533765288.2399998</v>
      </c>
      <c r="X17" s="20">
        <v>6116234711.7600002</v>
      </c>
      <c r="Y17" s="20">
        <v>7533765288.2399998</v>
      </c>
      <c r="Z17" s="20">
        <v>7533019429.4399996</v>
      </c>
      <c r="AA17" s="22">
        <v>7533019429.4399996</v>
      </c>
      <c r="AB17" s="22">
        <v>7533019429.4399996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1746420640</v>
      </c>
      <c r="X18" s="20">
        <v>1253579360</v>
      </c>
      <c r="Y18" s="20">
        <v>1652782745.0999999</v>
      </c>
      <c r="Z18" s="20">
        <v>1652782745.0999999</v>
      </c>
      <c r="AA18" s="22">
        <v>1642194745.0999999</v>
      </c>
      <c r="AB18" s="22">
        <v>1642194745.0999999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2925323240</v>
      </c>
      <c r="Z19" s="20">
        <v>2763752720</v>
      </c>
      <c r="AA19" s="22">
        <v>2740552720</v>
      </c>
      <c r="AB19" s="22">
        <v>2740552720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3171636704</v>
      </c>
      <c r="Z20" s="20">
        <v>529466629.62</v>
      </c>
      <c r="AA20" s="22">
        <v>529466629.62</v>
      </c>
      <c r="AB20" s="22">
        <v>529466629.62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230466812</v>
      </c>
      <c r="X21" s="20">
        <v>7623188</v>
      </c>
      <c r="Y21" s="20">
        <v>230466812</v>
      </c>
      <c r="Z21" s="20">
        <v>230405776</v>
      </c>
      <c r="AA21" s="22">
        <v>230405776</v>
      </c>
      <c r="AB21" s="22">
        <v>230405776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8" t="s">
        <v>36</v>
      </c>
      <c r="F23" s="18" t="s">
        <v>90</v>
      </c>
      <c r="G23" s="16" t="s">
        <v>207</v>
      </c>
      <c r="H23" s="16"/>
      <c r="I23" s="18"/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208</v>
      </c>
      <c r="R23" s="20">
        <v>0</v>
      </c>
      <c r="S23" s="20">
        <v>3000000</v>
      </c>
      <c r="T23" s="20">
        <v>0</v>
      </c>
      <c r="U23" s="20">
        <v>3000000</v>
      </c>
      <c r="V23" s="20">
        <v>0</v>
      </c>
      <c r="W23" s="20">
        <v>1000000</v>
      </c>
      <c r="X23" s="20">
        <v>2000000</v>
      </c>
      <c r="Y23" s="20">
        <v>960100</v>
      </c>
      <c r="Z23" s="20">
        <v>960100</v>
      </c>
      <c r="AA23" s="22">
        <v>960100</v>
      </c>
      <c r="AB23" s="22">
        <v>960100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12.5">
      <c r="A24" s="15" t="s">
        <v>145</v>
      </c>
      <c r="B24" s="16" t="s">
        <v>33</v>
      </c>
      <c r="C24" s="15" t="s">
        <v>34</v>
      </c>
      <c r="D24" s="17" t="s">
        <v>94</v>
      </c>
      <c r="E24" s="18" t="s">
        <v>95</v>
      </c>
      <c r="F24" s="18" t="s">
        <v>96</v>
      </c>
      <c r="G24" s="16" t="s">
        <v>97</v>
      </c>
      <c r="H24" s="16" t="s">
        <v>98</v>
      </c>
      <c r="I24" s="18" t="s">
        <v>99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100</v>
      </c>
      <c r="R24" s="20">
        <v>4467344345</v>
      </c>
      <c r="S24" s="20">
        <v>0</v>
      </c>
      <c r="T24" s="20">
        <v>0</v>
      </c>
      <c r="U24" s="20">
        <v>4467344345</v>
      </c>
      <c r="V24" s="20">
        <v>0</v>
      </c>
      <c r="W24" s="20">
        <v>4330541014.0100002</v>
      </c>
      <c r="X24" s="20">
        <v>136803330.99000001</v>
      </c>
      <c r="Y24" s="20">
        <v>4289281297.0100002</v>
      </c>
      <c r="Z24" s="20">
        <v>2000591909.99</v>
      </c>
      <c r="AA24" s="22">
        <v>1971901909.99</v>
      </c>
      <c r="AB24" s="22">
        <v>1971901909.99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101</v>
      </c>
      <c r="E25" s="26" t="s">
        <v>95</v>
      </c>
      <c r="F25" s="26" t="s">
        <v>102</v>
      </c>
      <c r="G25" s="26" t="s">
        <v>97</v>
      </c>
      <c r="H25" s="26" t="s">
        <v>81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24806150451</v>
      </c>
      <c r="S25" s="29">
        <v>0</v>
      </c>
      <c r="T25" s="29">
        <v>0</v>
      </c>
      <c r="U25" s="29">
        <v>24806150451</v>
      </c>
      <c r="V25" s="29">
        <v>0</v>
      </c>
      <c r="W25" s="29">
        <v>13369361495.76</v>
      </c>
      <c r="X25" s="29">
        <v>11436788955.24</v>
      </c>
      <c r="Y25" s="29">
        <v>8323713425.1499996</v>
      </c>
      <c r="Z25" s="29">
        <v>3470098418.9099998</v>
      </c>
      <c r="AA25" s="29">
        <v>3330227772.46</v>
      </c>
      <c r="AB25" s="29">
        <v>3330227772.46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6" t="s">
        <v>33</v>
      </c>
      <c r="C26" s="27" t="s">
        <v>34</v>
      </c>
      <c r="D26" s="28" t="s">
        <v>105</v>
      </c>
      <c r="E26" s="26" t="s">
        <v>95</v>
      </c>
      <c r="F26" s="26" t="s">
        <v>102</v>
      </c>
      <c r="G26" s="26" t="s">
        <v>97</v>
      </c>
      <c r="H26" s="26" t="s">
        <v>106</v>
      </c>
      <c r="I26" s="26" t="s">
        <v>103</v>
      </c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27" t="s">
        <v>104</v>
      </c>
      <c r="R26" s="29">
        <v>3035962836</v>
      </c>
      <c r="S26" s="29">
        <v>0</v>
      </c>
      <c r="T26" s="29">
        <v>0</v>
      </c>
      <c r="U26" s="29">
        <v>3035962836</v>
      </c>
      <c r="V26" s="29">
        <v>0</v>
      </c>
      <c r="W26" s="29">
        <v>2495736666.6599998</v>
      </c>
      <c r="X26" s="29">
        <v>540226169.34000003</v>
      </c>
      <c r="Y26" s="29">
        <v>100736666.66</v>
      </c>
      <c r="Z26" s="29">
        <v>25293333.329999998</v>
      </c>
      <c r="AA26" s="29">
        <v>25293333.329999998</v>
      </c>
      <c r="AB26" s="29">
        <v>25293333.329999998</v>
      </c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6" t="s">
        <v>169</v>
      </c>
      <c r="B2" s="136"/>
      <c r="C2" s="136"/>
      <c r="D2" s="136"/>
      <c r="E2" s="136"/>
      <c r="F2" s="136"/>
      <c r="G2" s="136"/>
      <c r="H2" s="136"/>
      <c r="I2" s="136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93799812768.360016</v>
      </c>
      <c r="C4" t="s">
        <v>145</v>
      </c>
      <c r="D4" s="13">
        <f t="shared" ref="D4:D15" si="0">B4</f>
        <v>93799812768.360016</v>
      </c>
      <c r="F4" s="86" t="s">
        <v>145</v>
      </c>
      <c r="G4" s="85">
        <v>83442664242.990005</v>
      </c>
      <c r="H4" t="s">
        <v>145</v>
      </c>
      <c r="I4" s="13">
        <f t="shared" ref="I4:I15" si="1">G4</f>
        <v>83442664242.990005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0.56013566565667083</v>
      </c>
      <c r="Q4" s="78">
        <f t="shared" ref="Q4:Q15" si="5">+I4/N4</f>
        <v>0.49828683981850208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93799812768.360016</v>
      </c>
      <c r="F17" s="86" t="s">
        <v>148</v>
      </c>
      <c r="G17" s="87">
        <v>83442664242.990005</v>
      </c>
      <c r="K17" s="86" t="s">
        <v>148</v>
      </c>
      <c r="L17" s="87">
        <v>167459097000</v>
      </c>
      <c r="M17" s="73"/>
    </row>
    <row r="21" spans="1:18">
      <c r="A21" s="136" t="s">
        <v>189</v>
      </c>
      <c r="B21" s="136"/>
      <c r="C21" s="136"/>
      <c r="D21" s="136"/>
      <c r="E21" s="136"/>
      <c r="F21" s="136"/>
      <c r="G21" s="136"/>
      <c r="H21" s="136"/>
      <c r="I21" s="136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4289281297.0100002</v>
      </c>
      <c r="C23" t="str">
        <f t="shared" ref="C23:C34" si="6">A23</f>
        <v>Enero</v>
      </c>
      <c r="D23" s="13">
        <f t="shared" ref="D23:D34" si="7">B23</f>
        <v>4289281297.0100002</v>
      </c>
      <c r="F23" s="86" t="s">
        <v>145</v>
      </c>
      <c r="G23" s="85">
        <v>2000591909.99</v>
      </c>
      <c r="H23" t="str">
        <f t="shared" ref="H23:H34" si="8">F23</f>
        <v>Enero</v>
      </c>
      <c r="I23" s="13">
        <f t="shared" ref="I23:I34" si="9">G23</f>
        <v>2000591909.99</v>
      </c>
      <c r="K23" s="86" t="s">
        <v>145</v>
      </c>
      <c r="L23" s="85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8">
        <f t="shared" ref="P23:P34" si="12">+D23/N23</f>
        <v>0.96014118585031538</v>
      </c>
      <c r="Q23" s="78">
        <f t="shared" ref="Q23:Q34" si="13">+I23/N23</f>
        <v>0.44782576750080366</v>
      </c>
    </row>
    <row r="24" spans="1:18">
      <c r="A24" s="86" t="s">
        <v>146</v>
      </c>
      <c r="B24" s="85">
        <v>8424450091.8099995</v>
      </c>
      <c r="C24" t="str">
        <f t="shared" si="6"/>
        <v>Febrero</v>
      </c>
      <c r="D24" s="13">
        <f t="shared" si="7"/>
        <v>8424450091.8099995</v>
      </c>
      <c r="F24" s="86" t="s">
        <v>146</v>
      </c>
      <c r="G24" s="85">
        <v>3495391752.2399998</v>
      </c>
      <c r="H24" t="str">
        <f t="shared" si="8"/>
        <v>Febrero</v>
      </c>
      <c r="I24" s="13">
        <f t="shared" si="9"/>
        <v>3495391752.2399998</v>
      </c>
      <c r="K24" s="86" t="s">
        <v>146</v>
      </c>
      <c r="L24" s="85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8">
        <f t="shared" si="12"/>
        <v>0.30257940569990899</v>
      </c>
      <c r="Q24" s="78">
        <f t="shared" si="13"/>
        <v>0.12554333488299046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12713731388.82</v>
      </c>
      <c r="F36" s="86" t="s">
        <v>148</v>
      </c>
      <c r="G36" s="87">
        <v>5495983662.2299995</v>
      </c>
      <c r="K36" s="86" t="s">
        <v>148</v>
      </c>
      <c r="L36" s="87">
        <v>32309457632</v>
      </c>
      <c r="M36" s="73"/>
    </row>
    <row r="39" spans="1:18">
      <c r="B39" s="137" t="s">
        <v>182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171926441345</v>
      </c>
      <c r="D42" s="85">
        <v>98089094065.37001</v>
      </c>
      <c r="E42" s="85">
        <v>85443256152.980011</v>
      </c>
      <c r="F42" t="str">
        <f t="shared" ref="F42:F53" si="14">B42</f>
        <v>Enero</v>
      </c>
      <c r="G42" s="78">
        <f>+GETPIVOTDATA("SCOMPROMISO",$B$41,"Mes","Enero")/GETPIVOTDATA(" APR. VIGENTE",$B$41,"Mes","Enero")</f>
        <v>0.57052942699219467</v>
      </c>
      <c r="H42" s="78">
        <f>+GETPIVOTDATA("SOBLIGACION",$B$41,"Mes","Enero")/GETPIVOTDATA(" APR. VIGENTE",$B$41,"Mes","Enero")</f>
        <v>0.49697565705744706</v>
      </c>
    </row>
    <row r="43" spans="1:18">
      <c r="B43" s="83" t="s">
        <v>146</v>
      </c>
      <c r="C43" s="85">
        <v>27842113287</v>
      </c>
      <c r="D43" s="85">
        <v>8424450091.8099995</v>
      </c>
      <c r="E43" s="85">
        <v>3495391752.2399998</v>
      </c>
      <c r="F43" t="str">
        <f t="shared" si="14"/>
        <v>Febrero</v>
      </c>
      <c r="G43" s="78">
        <f>+GETPIVOTDATA("SCOMPROMISO",$B$41,"Mes","Febrero")/GETPIVOTDATA(" APR. VIGENTE",$B$41,"Mes","Febrero")</f>
        <v>0.30257940569990899</v>
      </c>
      <c r="H43" s="78">
        <f>+GETPIVOTDATA("SOBLIGACION",$B$41,"Mes","Febrero")/GETPIVOTDATA(" APR. VIGENTE",$B$41,"Mes","Febrero")</f>
        <v>0.12554333488299046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106513544157.18001</v>
      </c>
      <c r="E55" s="87">
        <v>88938647905.220016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9" t="s">
        <v>122</v>
      </c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0.56013566565667083</v>
      </c>
      <c r="L61" s="39">
        <f>'BASE OBL-COM'!Q4</f>
        <v>0.49828683981850208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9" t="s">
        <v>185</v>
      </c>
      <c r="D74" s="140"/>
      <c r="E74" s="140"/>
      <c r="F74" s="140"/>
      <c r="G74" s="140"/>
      <c r="H74" s="140"/>
      <c r="I74" s="140"/>
      <c r="J74" s="140"/>
      <c r="K74" s="140"/>
      <c r="L74" s="140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0.96014118585031538</v>
      </c>
      <c r="L76" s="82">
        <f>'BASE OBL-COM'!Q23</f>
        <v>0.44782576750080366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0.30257940569990899</v>
      </c>
      <c r="L77" s="82">
        <f>'BASE OBL-COM'!Q24</f>
        <v>0.12554333488299046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0.39349875611121493</v>
      </c>
      <c r="F88" s="68">
        <f>+Ejecucion!D11/Ejecucion!B11</f>
        <v>0.17010448534384112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8" t="s">
        <v>182</v>
      </c>
      <c r="D90" s="138"/>
      <c r="E90" s="138"/>
      <c r="F90" s="138"/>
      <c r="G90" s="138"/>
      <c r="H90" s="138"/>
      <c r="I90" s="138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0.57052942699219467</v>
      </c>
      <c r="L92" s="82">
        <f>'BASE OBL-COM'!H42</f>
        <v>0.49697565705744706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0.30257940569990899</v>
      </c>
      <c r="L93" s="82">
        <f>'BASE OBL-COM'!H43</f>
        <v>0.12554333488299046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2024-08-01T16:08:28Z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