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10. Noviembre\"/>
    </mc:Choice>
  </mc:AlternateContent>
  <xr:revisionPtr revIDLastSave="0" documentId="8_{31EA5C43-4450-4538-8C6C-9B13EBAD3403}" xr6:coauthVersionLast="47" xr6:coauthVersionMax="47" xr10:uidLastSave="{00000000-0000-0000-0000-000000000000}"/>
  <workbookProtection workbookAlgorithmName="SHA-512" workbookHashValue="BH2xsqy0g3IEfFRTA38t7wTX/dBx08lnRy6RJpKLNgptZEgy6cJfizE+sfXvaSKO4S6oLqUZkZNm78B5CHHJiQ==" workbookSaltValue="yrlUhpqu8b/x0zAPdeEnsg==" workbookSpinCount="100000" lockStructure="1"/>
  <bookViews>
    <workbookView xWindow="28680" yWindow="690" windowWidth="19440" windowHeight="1500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64" r:id="rId8"/>
    <pivotCache cacheId="65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B20" i="2"/>
  <c r="B17" i="2"/>
  <c r="G52" i="32"/>
  <c r="H49" i="32"/>
  <c r="B16" i="2"/>
  <c r="G48" i="32"/>
  <c r="G47" i="32"/>
  <c r="D19" i="2"/>
  <c r="C18" i="2"/>
  <c r="B19" i="2"/>
  <c r="G42" i="32"/>
  <c r="G50" i="32"/>
  <c r="H45" i="32"/>
  <c r="H48" i="32"/>
  <c r="D7" i="2"/>
  <c r="C16" i="2"/>
  <c r="G43" i="32"/>
  <c r="G51" i="32"/>
  <c r="H53" i="32"/>
  <c r="C19" i="2"/>
  <c r="C7" i="2"/>
  <c r="D17" i="2"/>
  <c r="D20" i="2"/>
  <c r="H52" i="32"/>
  <c r="G53" i="32"/>
  <c r="H50" i="32"/>
  <c r="C10" i="2"/>
  <c r="H51" i="32"/>
  <c r="B18" i="2"/>
  <c r="H42" i="32"/>
  <c r="H43" i="32"/>
  <c r="H47" i="32"/>
  <c r="G44" i="32"/>
  <c r="D16" i="2"/>
  <c r="G46" i="32"/>
  <c r="H46" i="32"/>
  <c r="B9" i="2"/>
  <c r="G49" i="32"/>
  <c r="B7" i="2"/>
  <c r="C9" i="2"/>
  <c r="D9" i="2"/>
  <c r="B10" i="2"/>
  <c r="H44" i="32"/>
  <c r="G45" i="32"/>
  <c r="D10" i="2"/>
  <c r="C17" i="2"/>
  <c r="D18" i="2"/>
  <c r="C20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P27" i="32" s="1"/>
  <c r="K80" i="11" s="1"/>
  <c r="D28" i="32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P28" i="32" l="1"/>
  <c r="K81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D92" i="11" a="1"/>
  <c r="D92" i="11" s="1"/>
  <c r="I76" i="11" a="1"/>
  <c r="I76" i="11" s="1"/>
  <c r="H76" i="11" a="1"/>
  <c r="H76" i="11" s="1"/>
  <c r="F76" i="11" a="1"/>
  <c r="F76" i="11" s="1"/>
  <c r="E76" i="11" a="1"/>
  <c r="E77" i="11" s="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82" i="11" l="1"/>
  <c r="I83" i="11"/>
  <c r="E71" i="11"/>
  <c r="H84" i="11"/>
  <c r="E70" i="11"/>
  <c r="H103" i="11"/>
  <c r="H102" i="11"/>
  <c r="E86" i="11"/>
  <c r="E85" i="11"/>
  <c r="E84" i="11"/>
  <c r="H100" i="11"/>
  <c r="H99" i="11"/>
  <c r="E83" i="11"/>
  <c r="H98" i="11"/>
  <c r="E82" i="11"/>
  <c r="H97" i="11"/>
  <c r="E81" i="11"/>
  <c r="E80" i="11"/>
  <c r="I103" i="11"/>
  <c r="I100" i="11"/>
  <c r="H86" i="11"/>
  <c r="I99" i="11"/>
  <c r="H101" i="11"/>
  <c r="E79" i="11"/>
  <c r="I102" i="11"/>
  <c r="I101" i="11"/>
  <c r="H85" i="11"/>
  <c r="I98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98" i="11" l="1"/>
  <c r="F103" i="11"/>
  <c r="F97" i="11"/>
  <c r="F93" i="11"/>
  <c r="F92" i="11"/>
  <c r="F94" i="11"/>
  <c r="F95" i="11"/>
  <c r="F102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<sst xmlns="http://schemas.openxmlformats.org/spreadsheetml/2006/main" count="2325" uniqueCount="212">
  <si>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</si>
  <si>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</si>
  <si>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</si>
  <si>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</si>
  <si>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</si>
  <si>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</si>
  <si>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</si>
  <si>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</si>
  <si>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</si>
  <si>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</si>
  <si>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</si>
  <si>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</si>
  <si>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</si>
  <si>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</si>
  <si>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</si>
  <si>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</si>
  <si>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</si>
  <si>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</si>
  <si>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</si>
  <si>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</si>
  <si>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</si>
  <si>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</si>
  <si>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</si>
  <si>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</si>
  <si>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</si>
  <si>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</si>
  <si>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</si>
  <si>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</si>
  <si>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</si>
  <si>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</si>
  <si>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</si>
  <si>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</si>
  <si>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</si>
  <si>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</si>
  <si>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</si>
  <si>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</si>
  <si>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</si>
  <si>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</si>
  <si>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</si>
  <si>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</si>
  <si>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</si>
  <si>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</si>
  <si>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</si>
  <si>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</si>
  <si>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</si>
  <si>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</si>
  <si>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</si>
  <si>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</si>
  <si>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</si>
  <si>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</si>
  <si>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</si>
  <si>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</si>
  <si>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</si>
  <si>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</si>
  <si>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</si>
  <si>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</si>
  <si>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</si>
  <si>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</si>
  <si>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</si>
  <si>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</si>
  <si>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</si>
  <si>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</si>
  <si>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</si>
  <si>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</si>
  <si>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</si>
  <si>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</si>
  <si>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</si>
  <si>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</si>
  <si>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</si>
  <si>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</si>
  <si>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</si>
  <si>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</si>
  <si>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</si>
  <si>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</si>
  <si>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</si>
  <si>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</si>
  <si>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</si>
  <si>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</si>
  <si>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</si>
  <si>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</si>
  <si>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</si>
  <si>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</si>
  <si>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</si>
  <si>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</si>
  <si>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</si>
  <si>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</si>
  <si>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</si>
  <si>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</si>
  <si>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</si>
  <si>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</si>
  <si>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</si>
  <si>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</si>
  <si>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</si>
  <si>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</si>
  <si>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</si>
  <si>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</si>
  <si>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</si>
  <si>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</si>
  <si>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</si>
  <si>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</si>
  <si>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</si>
  <si>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</si>
  <si>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</si>
  <si>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</si>
  <si>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</si>
  <si>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</si>
  <si>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</si>
  <si>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</si>
  <si>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</si>
  <si>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</si>
  <si>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</si>
  <si>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</si>
  <si>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</si>
  <si>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</si>
  <si>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</si>
  <si>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</si>
  <si>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</si>
  <si>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</si>
  <si>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</si>
  <si>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</si>
  <si>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</si>
  <si>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</si>
  <si>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</si>
  <si>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</si>
  <si>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</si>
  <si>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</si>
  <si>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</si>
  <si>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</si>
  <si>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</si>
  <si>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</si>
  <si>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</si>
  <si>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</si>
  <si>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</si>
  <si>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</si>
  <si>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</si>
  <si>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</si>
  <si>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</si>
  <si>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</si>
  <si>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</si>
  <si>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</si>
  <si>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</si>
  <si>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</si>
  <si>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</si>
  <si>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</si>
  <si>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</si>
  <si>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</si>
  <si>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</si>
  <si>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</si>
  <si>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</si>
  <si>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</si>
  <si>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</si>
  <si>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</si>
  <si>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</si>
  <si>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</si>
  <si>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</si>
  <si>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</si>
  <si>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</si>
  <si>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</si>
  <si>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</si>
  <si>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</si>
  <si>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</si>
  <si>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</si>
  <si>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</si>
  <si>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</si>
  <si>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</si>
  <si>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</si>
  <si>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</si>
  <si>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</si>
  <si>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</si>
  <si>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</si>
  <si>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</si>
  <si>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</si>
  <si>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</si>
  <si>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</si>
  <si>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</si>
  <si>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</si>
  <si>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</si>
  <si>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</si>
  <si>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</si>
  <si>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</si>
  <si>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</si>
  <si>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</si>
  <si>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</si>
  <si>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</si>
  <si>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</si>
  <si>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</si>
  <si>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</si>
  <si>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</si>
  <si>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</si>
  <si>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</si>
  <si>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</si>
  <si>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</si>
  <si>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</si>
  <si>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</si>
  <si>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</si>
  <si>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</si>
  <si>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</si>
  <si>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</si>
  <si>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</si>
  <si>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</si>
  <si>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</si>
  <si>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</si>
  <si>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</si>
  <si>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</si>
  <si>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</si>
  <si>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</si>
  <si>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>A-08-05</t>
  </si>
  <si>
    <t>05</t>
  </si>
  <si>
    <t>MULTAS, SANCIONES E INTERESES DE MORA</t>
  </si>
  <si>
    <t xml:space="preserve">EJECUCIÓN PRESUPUESTAL </t>
  </si>
  <si>
    <t xml:space="preserve">2024 ( Millones) </t>
  </si>
  <si>
    <t xml:space="preserve">EJECUCIÓN PRESUPUESTAL  Noviembre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</si>
</sst>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28.705411921299" createdVersion="6" refreshedVersion="8" minRefreshableVersion="3" recordCount="282" xr:uid="{00000000-000A-0000-FFFF-FFFF0D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8343068291"/>
    </cacheField>
    <cacheField name="APR. REDUCIDA" numFmtId="0">
      <sharedItems containsString="0" containsBlank="1" containsNumber="1" containsInteger="1" minValue="0" maxValue="11258823000"/>
    </cacheField>
    <cacheField name="APR. VIGENTE" numFmtId="0">
      <sharedItems containsString="0" containsBlank="1" containsNumber="1" containsInteger="1" minValue="0" maxValue="72273003291"/>
    </cacheField>
    <cacheField name="APR BLOQUEADA" numFmtId="0">
      <sharedItems containsString="0" containsBlank="1" containsNumber="1" containsInteger="1" minValue="0" maxValue="700000000"/>
    </cacheField>
    <cacheField name="CDP" numFmtId="0">
      <sharedItems containsString="0" containsBlank="1" containsNumber="1" minValue="0" maxValue="72273003291"/>
    </cacheField>
    <cacheField name="APR. DISPONIBLE" numFmtId="0">
      <sharedItems containsString="0" containsBlank="1" containsNumber="1" minValue="0" maxValue="1084251647.5799999"/>
    </cacheField>
    <cacheField name="COMPROMISO" numFmtId="0">
      <sharedItems containsString="0" containsBlank="1" containsNumber="1" minValue="0" maxValue="58983024308.650002"/>
    </cacheField>
    <cacheField name="OBLIGACION" numFmtId="0">
      <sharedItems containsString="0" containsBlank="1" containsNumber="1" minValue="0" maxValue="58983024308.650002"/>
    </cacheField>
    <cacheField name="ORDEN PAGO" numFmtId="0">
      <sharedItems containsString="0" containsBlank="1" containsNumber="1" minValue="0" maxValue="58945578798.650002"/>
    </cacheField>
    <cacheField name="PAGOS" numFmtId="0">
      <sharedItems containsString="0" containsBlank="1" containsNumber="1" minValue="0" maxValue="58945578798.65000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628.705412384261" createdVersion="6" refreshedVersion="8" minRefreshableVersion="3" recordCount="12" xr:uid="{00000000-000A-0000-FFFF-FFFF11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74550527340285366" maxValue="0.74550527340285366"/>
    </cacheField>
    <cacheField name="ACTUAL-OBLIGADO" numFmtId="168">
      <sharedItems containsMixedTypes="1" containsNumber="1" minValue="0.70028624155366137" maxValue="0.700286241553661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8343068291"/>
    <n v="0"/>
    <n v="72273003291"/>
    <n v="0"/>
    <n v="72273003291"/>
    <n v="0"/>
    <n v="58983024308.650002"/>
    <n v="58983024308.650002"/>
    <n v="58945578798.650002"/>
    <n v="58945578798.650002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2505369519"/>
    <n v="0"/>
    <n v="26998740519"/>
    <n v="0"/>
    <n v="26998740519"/>
    <n v="0"/>
    <n v="21920499612"/>
    <n v="21920499612"/>
    <n v="21920499612"/>
    <n v="21920499612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410385190"/>
    <n v="0"/>
    <n v="20424619190"/>
    <n v="0"/>
    <n v="20424619190"/>
    <n v="0"/>
    <n v="13379063166"/>
    <n v="13373255407"/>
    <n v="13349471536"/>
    <n v="13349471536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11258823000"/>
    <n v="122543000"/>
    <n v="122543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91957802"/>
    <n v="91957802"/>
    <n v="91957802"/>
    <n v="91957802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28058788"/>
    <n v="28058788"/>
    <n v="28058788"/>
    <n v="28058788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16688104"/>
    <n v="16688104"/>
    <n v="16688104"/>
    <n v="16688104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2000000000"/>
    <n v="0"/>
    <n v="17932167000"/>
    <n v="0"/>
    <n v="17698685342.209999"/>
    <n v="233481657.78999999"/>
    <n v="17316928833.57"/>
    <n v="12466457082.57"/>
    <n v="12444229614.540001"/>
    <n v="12444229614.540001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700000000"/>
    <n v="559000000"/>
    <n v="0"/>
    <n v="555513312.79999995"/>
    <n v="555513312.79999995"/>
    <n v="555513312.79999995"/>
    <n v="555513312.79999995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2000000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68309989.650000006"/>
    <n v="354790010.35000002"/>
    <n v="68309989.650000006"/>
    <n v="68309989.650000006"/>
    <n v="68309989.650000006"/>
    <n v="68309989.650000006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470922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297221988"/>
    <n v="297221988"/>
    <n v="297221988"/>
    <n v="297221988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39081181"/>
    <n v="0"/>
    <n v="61412181"/>
    <n v="0"/>
    <n v="61412181"/>
    <n v="0"/>
    <n v="39000000"/>
    <n v="39000000"/>
    <n v="39000000"/>
    <n v="390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37300000"/>
    <n v="3006877000"/>
    <n v="0"/>
    <n v="2332594959"/>
    <n v="674282041"/>
    <n v="2332594959"/>
    <n v="2332594959"/>
    <n v="2332594959"/>
    <n v="2332594959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12565748352.42"/>
    <n v="1084251647.5799999"/>
    <n v="12565748352.42"/>
    <n v="12565748352.42"/>
    <n v="12565748352.42"/>
    <n v="12565748352.42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2246420640"/>
    <n v="753579360"/>
    <n v="1982215275.0999999"/>
    <n v="1982215275.0999999"/>
    <n v="1982215275.0999999"/>
    <n v="1982215275.0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383940944"/>
    <n v="0"/>
    <n v="3555840944"/>
    <n v="0"/>
    <n v="3555840944"/>
    <n v="0"/>
    <n v="3524383240"/>
    <n v="3468983240"/>
    <n v="3449483240"/>
    <n v="344948324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3371511698"/>
    <n v="1805620257.01"/>
    <n v="1805620257.01"/>
    <n v="1805620257.01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82199875"/>
    <n v="0"/>
    <n v="320289875"/>
    <n v="0"/>
    <n v="320193828"/>
    <n v="96047"/>
    <n v="320193828"/>
    <n v="320132792"/>
    <n v="320132792"/>
    <n v="320132792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372184204"/>
    <n v="56015796"/>
    <n v="372184204"/>
    <n v="372184204"/>
    <n v="372184204"/>
    <n v="372184204"/>
    <m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n v="0"/>
    <n v="3000000"/>
    <n v="0"/>
    <n v="3000000"/>
    <n v="0"/>
    <n v="1000000"/>
    <n v="2000000"/>
    <n v="960100"/>
    <n v="960100"/>
    <n v="960100"/>
    <n v="96010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466722737.0100002"/>
    <n v="621607.99"/>
    <n v="4441190862.0100002"/>
    <n v="3552242187.2199998"/>
    <n v="3547747187.2199998"/>
    <n v="3547747187.2199998"/>
    <m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24576098719.889999"/>
    <n v="230051731.11000001"/>
    <n v="12790467676.889999"/>
    <n v="7185394391.3000002"/>
    <n v="7127034391.3000002"/>
    <n v="7127034391.3000002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3030712126.6599998"/>
    <n v="5250709.34"/>
    <n v="2416472493.6599998"/>
    <n v="151195489.49000001"/>
    <n v="151195489.49000001"/>
    <n v="151195489.49000001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0.74550527340285366"/>
    <n v="0.70028624155366137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2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5" cacheId="64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4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8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6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0" cacheId="64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6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autoFilter ref="A1:AF283" xr:uid="{00000000-0009-0000-0100-000001000000}"/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55" zoomScaleNormal="98" zoomScaleSheetLayoutView="55" workbookViewId="0">
      <selection activeCell="A2" sqref="A2:G2"/>
    </sheetView>
  </sheetViews>
  <sheetFormatPr baseColWidth="10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211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36">
      <c r="A6" s="90" t="s">
        <v>117</v>
      </c>
      <c r="B6" s="101">
        <f t="shared" ref="B6:G6" si="0">+B7</f>
        <v>4467344345</v>
      </c>
      <c r="C6" s="101">
        <f t="shared" si="0"/>
        <v>4441190862.0100002</v>
      </c>
      <c r="D6" s="101">
        <f t="shared" si="0"/>
        <v>3552242187.2199998</v>
      </c>
      <c r="E6" s="101">
        <f t="shared" si="0"/>
        <v>26153482.989999771</v>
      </c>
      <c r="F6" s="102">
        <f t="shared" si="0"/>
        <v>0.99414563083338947</v>
      </c>
      <c r="G6" s="102">
        <f t="shared" si="0"/>
        <v>0.79515746109784147</v>
      </c>
    </row>
    <row r="7" spans="1:12" ht="57">
      <c r="A7" s="91" t="s">
        <v>118</v>
      </c>
      <c r="B7" s="103">
        <f>GETPIVOTDATA("Suma de APR. VIGENTE",CRIS!$A$3,"CM - A","C3")</f>
        <v>4467344345</v>
      </c>
      <c r="C7" s="103">
        <f>GETPIVOTDATA("Suma de COMPROMISO",CRIS!$A$3,"CM - A","C3")</f>
        <v>4441190862.0100002</v>
      </c>
      <c r="D7" s="103">
        <f>GETPIVOTDATA("Suma de OBLIGACION",CRIS!$A$3,"CM - A","C3")</f>
        <v>3552242187.2199998</v>
      </c>
      <c r="E7" s="104">
        <f>+B7-C7</f>
        <v>26153482.989999771</v>
      </c>
      <c r="F7" s="105">
        <f>+C7/B7</f>
        <v>0.99414563083338947</v>
      </c>
      <c r="G7" s="106">
        <f>+D7/B7</f>
        <v>0.79515746109784147</v>
      </c>
    </row>
    <row r="8" spans="1:12" ht="36">
      <c r="A8" s="90" t="s">
        <v>119</v>
      </c>
      <c r="B8" s="101">
        <f>SUM(B9:B10)</f>
        <v>27842113287</v>
      </c>
      <c r="C8" s="101">
        <f>SUM(C9:C10)</f>
        <v>15206940170.549999</v>
      </c>
      <c r="D8" s="101">
        <f>SUM(D9:D10)</f>
        <v>7336589880.79</v>
      </c>
      <c r="E8" s="101">
        <f>SUM(E9:E10)</f>
        <v>12635173116.450001</v>
      </c>
      <c r="F8" s="107">
        <f>+C8/B8</f>
        <v>0.54618483926830375</v>
      </c>
      <c r="G8" s="108">
        <f>+D8/B8</f>
        <v>0.26350693301056244</v>
      </c>
    </row>
    <row r="9" spans="1:12" ht="57">
      <c r="A9" s="92" t="s">
        <v>205</v>
      </c>
      <c r="B9" s="103">
        <f>GETPIVOTDATA("Suma de APR. VIGENTE",CRIS!$A$3,"CM - A","C11")</f>
        <v>24806150451</v>
      </c>
      <c r="C9" s="103">
        <f>GETPIVOTDATA("Suma de COMPROMISO",CRIS!$A$3,"CM - A","C11")</f>
        <v>12790467676.889999</v>
      </c>
      <c r="D9" s="103">
        <f>GETPIVOTDATA("Suma de OBLIGACION",CRIS!$A$3,"CM - A","C11")</f>
        <v>7185394391.3000002</v>
      </c>
      <c r="E9" s="103">
        <f>+B9-C9</f>
        <v>12015682774.110001</v>
      </c>
      <c r="F9" s="105">
        <f>+C9/B9</f>
        <v>0.51561679036637398</v>
      </c>
      <c r="G9" s="109">
        <f>+D9/B9</f>
        <v>0.28966180808640296</v>
      </c>
    </row>
    <row r="10" spans="1:12" ht="57.75" thickBot="1">
      <c r="A10" s="92" t="s">
        <v>204</v>
      </c>
      <c r="B10" s="103">
        <f>GETPIVOTDATA("Suma de APR. VIGENTE",CRIS!$A$3,"CM - A","C12")</f>
        <v>3035962836</v>
      </c>
      <c r="C10" s="103">
        <f>GETPIVOTDATA("Suma de COMPROMISO",CRIS!$A$3,"CM - A","C12")</f>
        <v>2416472493.6599998</v>
      </c>
      <c r="D10" s="103">
        <f>GETPIVOTDATA("Suma de OBLIGACION",CRIS!$A$3,"CM - A","C12")</f>
        <v>151195489.49000001</v>
      </c>
      <c r="E10" s="103">
        <f>+B10-C10</f>
        <v>619490342.34000015</v>
      </c>
      <c r="F10" s="105">
        <f>+C10/B10</f>
        <v>0.7959492998418245</v>
      </c>
      <c r="G10" s="109">
        <f>+D10/B10</f>
        <v>4.9801495491692507E-2</v>
      </c>
    </row>
    <row r="11" spans="1:12" ht="37.5" customHeight="1" thickBot="1">
      <c r="A11" s="93" t="s">
        <v>120</v>
      </c>
      <c r="B11" s="101">
        <f>+B6+B8</f>
        <v>32309457632</v>
      </c>
      <c r="C11" s="101">
        <f>+C6+C8</f>
        <v>19648131032.559998</v>
      </c>
      <c r="D11" s="101">
        <f>+D6+D8</f>
        <v>10888832068.01</v>
      </c>
      <c r="E11" s="101">
        <f>+E6+E8</f>
        <v>12661326599.440001</v>
      </c>
      <c r="F11" s="107">
        <f>+C11/B11</f>
        <v>0.60812320826766386</v>
      </c>
      <c r="G11" s="108">
        <f>+D11/B11</f>
        <v>0.33701686336032644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167459097000</v>
      </c>
      <c r="C15" s="110">
        <f>SUM(C16:C20)</f>
        <v>137166057561.19</v>
      </c>
      <c r="D15" s="110">
        <f>SUM(D16:D20)</f>
        <v>130688425574.2</v>
      </c>
      <c r="E15" s="110">
        <f>SUM(E16:E20)</f>
        <v>30293039438.810009</v>
      </c>
      <c r="F15" s="111">
        <f t="shared" ref="F15:F21" si="1">+C15/B15</f>
        <v>0.81910185841495375</v>
      </c>
      <c r="G15" s="112">
        <f t="shared" ref="G15:G21" si="2">+D15/B15</f>
        <v>0.78041998264328394</v>
      </c>
    </row>
    <row r="16" spans="1:12" ht="23.25">
      <c r="A16" s="95" t="s">
        <v>124</v>
      </c>
      <c r="B16" s="113">
        <f>GETPIVOTDATA("Suma de APR. VIGENTE",CRIS!$A$3,"CM - A","A01")</f>
        <v>120100224000</v>
      </c>
      <c r="C16" s="113">
        <f>GETPIVOTDATA("Suma de COMPROMISO",CRIS!$A$3,"CM - A","A01")</f>
        <v>94419291780.649994</v>
      </c>
      <c r="D16" s="113">
        <f>GETPIVOTDATA("Suma de OBLIGACION",CRIS!$A$3,"CM - A","A01")</f>
        <v>94413484021.649994</v>
      </c>
      <c r="E16" s="103">
        <f>+B16-C16</f>
        <v>25680932219.350006</v>
      </c>
      <c r="F16" s="105">
        <f t="shared" si="1"/>
        <v>0.78617082163518692</v>
      </c>
      <c r="G16" s="109">
        <f t="shared" si="2"/>
        <v>0.78612246403179065</v>
      </c>
    </row>
    <row r="17" spans="1:7" ht="23.25">
      <c r="A17" s="95" t="s">
        <v>125</v>
      </c>
      <c r="B17" s="113">
        <f>GETPIVOTDATA("Suma de APR. VIGENTE",CRIS!$A$3,"CM - A","A02")</f>
        <v>17932167000</v>
      </c>
      <c r="C17" s="113">
        <f>GETPIVOTDATA("Suma de COMPROMISO",CRIS!$A$3,"CM - A","A02")</f>
        <v>17316928833.57</v>
      </c>
      <c r="D17" s="113">
        <f>GETPIVOTDATA("Suma de OBLIGACION",CRIS!$A$3,"CM - A","A02")</f>
        <v>12466457082.57</v>
      </c>
      <c r="E17" s="103">
        <f>+B17-C17</f>
        <v>615238166.43000031</v>
      </c>
      <c r="F17" s="105">
        <f t="shared" si="1"/>
        <v>0.9656908076737184</v>
      </c>
      <c r="G17" s="109">
        <f t="shared" si="2"/>
        <v>0.69520081329657479</v>
      </c>
    </row>
    <row r="18" spans="1:7" ht="23.25">
      <c r="A18" s="95" t="s">
        <v>126</v>
      </c>
      <c r="B18" s="113">
        <f>GETPIVOTDATA("Suma de APR. VIGENTE",CRIS!$A$3,"CM - A","A03")</f>
        <v>25286616125</v>
      </c>
      <c r="C18" s="113">
        <f>GETPIVOTDATA("Suma de COMPROMISO",CRIS!$A$3,"CM - A","A03")</f>
        <v>21364987116.969997</v>
      </c>
      <c r="D18" s="113">
        <f>GETPIVOTDATA("Suma de OBLIGACION",CRIS!$A$3,"CM - A","A03")</f>
        <v>21309587116.969997</v>
      </c>
      <c r="E18" s="103">
        <f>+B18-C18</f>
        <v>3921629008.0300026</v>
      </c>
      <c r="F18" s="105">
        <f t="shared" si="1"/>
        <v>0.84491285869789334</v>
      </c>
      <c r="G18" s="109">
        <f t="shared" si="2"/>
        <v>0.8427219763858379</v>
      </c>
    </row>
    <row r="19" spans="1:7" ht="23.25">
      <c r="A19" s="95" t="s">
        <v>127</v>
      </c>
      <c r="B19" s="113">
        <f>GETPIVOTDATA("Suma de APR. VIGENTE",CRIS!$A$3,"CM - A","A06")</f>
        <v>3388600000</v>
      </c>
      <c r="C19" s="113">
        <f>GETPIVOTDATA("Suma de COMPROMISO",CRIS!$A$3,"CM - A","A06")</f>
        <v>3371511698</v>
      </c>
      <c r="D19" s="113">
        <f>GETPIVOTDATA("Suma de OBLIGACION",CRIS!$A$3,"CM - A","A06")</f>
        <v>1805620257.01</v>
      </c>
      <c r="E19" s="103">
        <f>+B19-C19</f>
        <v>17088302</v>
      </c>
      <c r="F19" s="105">
        <f t="shared" si="1"/>
        <v>0.99495712034468509</v>
      </c>
      <c r="G19" s="109">
        <f t="shared" si="2"/>
        <v>0.53285140087646821</v>
      </c>
    </row>
    <row r="20" spans="1:7" ht="24" thickBot="1">
      <c r="A20" s="95" t="s">
        <v>128</v>
      </c>
      <c r="B20" s="113">
        <f>GETPIVOTDATA("Suma de APR. VIGENTE",CRIS!$A$3,"CM - A","A08")</f>
        <v>751489875</v>
      </c>
      <c r="C20" s="113">
        <f>GETPIVOTDATA("Suma de COMPROMISO",CRIS!$A$3,"CM - A","A08")</f>
        <v>693338132</v>
      </c>
      <c r="D20" s="113">
        <f>GETPIVOTDATA("Suma de OBLIGACION",CRIS!$A$3,"CM - A","A08")</f>
        <v>693277096</v>
      </c>
      <c r="E20" s="103">
        <f>+B20-C20</f>
        <v>58151743</v>
      </c>
      <c r="F20" s="105">
        <f t="shared" si="1"/>
        <v>0.92261806188672868</v>
      </c>
      <c r="G20" s="109">
        <f t="shared" si="2"/>
        <v>0.9225368418969051</v>
      </c>
    </row>
    <row r="21" spans="1:7" ht="21" thickBot="1">
      <c r="A21" s="96" t="s">
        <v>129</v>
      </c>
      <c r="B21" s="114">
        <f>SUM(B16:B20)</f>
        <v>167459097000</v>
      </c>
      <c r="C21" s="114">
        <f>SUM(C16:C20)</f>
        <v>137166057561.19</v>
      </c>
      <c r="D21" s="114">
        <f>SUM(D16:D20)</f>
        <v>130688425574.2</v>
      </c>
      <c r="E21" s="114">
        <f>SUM(E16:E20)</f>
        <v>30293039438.810009</v>
      </c>
      <c r="F21" s="115">
        <f t="shared" si="1"/>
        <v>0.81910185841495375</v>
      </c>
      <c r="G21" s="115">
        <f t="shared" si="2"/>
        <v>0.78041998264328394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199768554632</v>
      </c>
      <c r="C23" s="114">
        <f>+C21+C11</f>
        <v>156814188593.75</v>
      </c>
      <c r="D23" s="114">
        <f>+D21+D11</f>
        <v>141577257642.20999</v>
      </c>
      <c r="E23" s="114">
        <f>+E21+E11</f>
        <v>42954366038.250008</v>
      </c>
      <c r="F23" s="115">
        <f>+C23/B23</f>
        <v>0.78497934213231102</v>
      </c>
      <c r="G23" s="115">
        <f>+D23/B23</f>
        <v>0.70870642230462122</v>
      </c>
    </row>
    <row r="30" spans="1:7">
      <c r="F30" s="99"/>
    </row>
    <row r="31" spans="1:7">
      <c r="F31" s="100"/>
    </row>
  </sheetData>
  <sheetProtection algorithmName="SHA-512" hashValue="BHBEkvXVPXZ1SJ+nhdFEeY7DQ7xijyzeA9aNEVXt9JSfbEytT9aKpclvSYx7je/i1pmnCl2ngVHwQ/eHVn19xg==" saltValue="T+PvGwxLhmr3cAR6gp72a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G7" sqref="G7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45628</v>
      </c>
      <c r="H3" t="str">
        <f ca="1">TEXT(G3,"MMMM")</f>
        <v>diciembre</v>
      </c>
      <c r="I3" s="119"/>
    </row>
    <row r="4" spans="1:9">
      <c r="A4" s="82"/>
      <c r="B4" s="83"/>
      <c r="C4" s="83"/>
      <c r="D4" s="83"/>
      <c r="G4" t="s">
        <v>209</v>
      </c>
    </row>
    <row r="5" spans="1:9">
      <c r="A5" s="82" t="s">
        <v>137</v>
      </c>
      <c r="B5" s="83">
        <v>120100224000</v>
      </c>
      <c r="C5" s="83">
        <v>94419291780.649994</v>
      </c>
      <c r="D5" s="83">
        <v>94413484021.649994</v>
      </c>
      <c r="G5" t="s">
        <v>210</v>
      </c>
    </row>
    <row r="6" spans="1:9">
      <c r="A6" s="82" t="s">
        <v>138</v>
      </c>
      <c r="B6" s="83">
        <v>17932167000</v>
      </c>
      <c r="C6" s="83">
        <v>17316928833.57</v>
      </c>
      <c r="D6" s="83">
        <v>12466457082.57</v>
      </c>
      <c r="G6" t="str">
        <f ca="1">CONCATENATE(G4," ",H3," ",G5)</f>
        <v xml:space="preserve">EJECUCIÓN PRESUPUESTAL  diciembre 2024 ( Millones) </v>
      </c>
    </row>
    <row r="7" spans="1:9">
      <c r="A7" s="82" t="s">
        <v>139</v>
      </c>
      <c r="B7" s="83">
        <v>25286616125</v>
      </c>
      <c r="C7" s="83">
        <v>21364987116.969997</v>
      </c>
      <c r="D7" s="83">
        <v>21309587116.969997</v>
      </c>
    </row>
    <row r="8" spans="1:9">
      <c r="A8" s="82" t="s">
        <v>140</v>
      </c>
      <c r="B8" s="83">
        <v>3388600000</v>
      </c>
      <c r="C8" s="83">
        <v>3371511698</v>
      </c>
      <c r="D8" s="83">
        <v>1805620257.01</v>
      </c>
    </row>
    <row r="9" spans="1:9">
      <c r="A9" s="82" t="s">
        <v>143</v>
      </c>
      <c r="B9" s="83">
        <v>751489875</v>
      </c>
      <c r="C9" s="83">
        <v>693338132</v>
      </c>
      <c r="D9" s="83">
        <v>693277096</v>
      </c>
    </row>
    <row r="10" spans="1:9" ht="15.75">
      <c r="A10" s="82" t="s">
        <v>155</v>
      </c>
      <c r="B10" s="83">
        <v>24806150451</v>
      </c>
      <c r="C10" s="83">
        <v>12790467676.889999</v>
      </c>
      <c r="D10" s="83">
        <v>7185394391.3000002</v>
      </c>
      <c r="G10" s="14"/>
    </row>
    <row r="11" spans="1:9">
      <c r="A11" s="82" t="s">
        <v>156</v>
      </c>
      <c r="B11" s="83">
        <v>3035962836</v>
      </c>
      <c r="C11" s="83">
        <v>2416472493.6599998</v>
      </c>
      <c r="D11" s="83">
        <v>151195489.49000001</v>
      </c>
    </row>
    <row r="12" spans="1:9">
      <c r="A12" s="82" t="s">
        <v>154</v>
      </c>
      <c r="B12" s="83">
        <v>4467344345</v>
      </c>
      <c r="C12" s="83">
        <v>4441190862.0100002</v>
      </c>
      <c r="D12" s="83">
        <v>3552242187.2199998</v>
      </c>
    </row>
    <row r="13" spans="1:9">
      <c r="A13" s="82" t="s">
        <v>148</v>
      </c>
      <c r="B13" s="83">
        <v>199768554632</v>
      </c>
      <c r="C13" s="83">
        <v>156814188593.75003</v>
      </c>
      <c r="D13" s="83">
        <v>141577257642.20999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B1" zoomScale="80" zoomScaleNormal="80" workbookViewId="0">
      <pane ySplit="1" topLeftCell="A10" activePane="bottomLeft" state="frozen"/>
      <selection activeCell="B1" sqref="B1"/>
      <selection pane="bottomLeft" activeCell="R14" sqref="R14"/>
    </sheetView>
  </sheetViews>
  <sheetFormatPr baseColWidth="10" defaultRowHeight="15" zeroHeight="1"/>
  <cols>
    <col min="1" max="1" width="9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4.33203125" style="20" customWidth="1"/>
    <col min="20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6.777343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63929935000</v>
      </c>
      <c r="S2" s="18">
        <v>8343068291</v>
      </c>
      <c r="T2" s="18">
        <v>0</v>
      </c>
      <c r="U2" s="19">
        <v>72273003291</v>
      </c>
      <c r="V2" s="18">
        <v>0</v>
      </c>
      <c r="W2" s="18">
        <v>72273003291</v>
      </c>
      <c r="X2" s="18">
        <v>0</v>
      </c>
      <c r="Y2" s="18">
        <v>58983024308.650002</v>
      </c>
      <c r="Z2" s="18">
        <v>58983024308.650002</v>
      </c>
      <c r="AA2" s="18">
        <v>58945578798.650002</v>
      </c>
      <c r="AB2" s="18">
        <v>58945578798.650002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24493371000</v>
      </c>
      <c r="S3" s="18">
        <v>2505369519</v>
      </c>
      <c r="T3" s="18">
        <v>0</v>
      </c>
      <c r="U3" s="19">
        <v>26998740519</v>
      </c>
      <c r="V3" s="18">
        <v>0</v>
      </c>
      <c r="W3" s="18">
        <v>26998740519</v>
      </c>
      <c r="X3" s="18">
        <v>0</v>
      </c>
      <c r="Y3" s="18">
        <v>21920499612</v>
      </c>
      <c r="Z3" s="18">
        <v>21920499612</v>
      </c>
      <c r="AA3" s="18">
        <v>21920499612</v>
      </c>
      <c r="AB3" s="18">
        <v>21920499612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20014234000</v>
      </c>
      <c r="S4" s="18">
        <v>410385190</v>
      </c>
      <c r="T4" s="18">
        <v>0</v>
      </c>
      <c r="U4" s="19">
        <v>20424619190</v>
      </c>
      <c r="V4" s="18">
        <v>0</v>
      </c>
      <c r="W4" s="18">
        <v>20424619190</v>
      </c>
      <c r="X4" s="18">
        <v>0</v>
      </c>
      <c r="Y4" s="18">
        <v>13379063166</v>
      </c>
      <c r="Z4" s="18">
        <v>13373255407</v>
      </c>
      <c r="AA4" s="18">
        <v>13349471536</v>
      </c>
      <c r="AB4" s="18">
        <v>13349471536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11381366000</v>
      </c>
      <c r="S5" s="18">
        <v>0</v>
      </c>
      <c r="T5" s="18">
        <v>11258823000</v>
      </c>
      <c r="U5" s="19">
        <v>122543000</v>
      </c>
      <c r="V5" s="18">
        <v>122543000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145533000</v>
      </c>
      <c r="S6" s="18">
        <v>0</v>
      </c>
      <c r="T6" s="18">
        <v>0</v>
      </c>
      <c r="U6" s="19">
        <v>145533000</v>
      </c>
      <c r="V6" s="18">
        <v>0</v>
      </c>
      <c r="W6" s="18">
        <v>145532990</v>
      </c>
      <c r="X6" s="18">
        <v>10</v>
      </c>
      <c r="Y6" s="18">
        <v>91957802</v>
      </c>
      <c r="Z6" s="18">
        <v>91957802</v>
      </c>
      <c r="AA6" s="18">
        <v>91957802</v>
      </c>
      <c r="AB6" s="18">
        <v>91957802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60098000</v>
      </c>
      <c r="S7" s="18">
        <v>0</v>
      </c>
      <c r="T7" s="18">
        <v>0</v>
      </c>
      <c r="U7" s="19">
        <v>60098000</v>
      </c>
      <c r="V7" s="18">
        <v>0</v>
      </c>
      <c r="W7" s="18">
        <v>60098000</v>
      </c>
      <c r="X7" s="18">
        <v>0</v>
      </c>
      <c r="Y7" s="18">
        <v>28058788</v>
      </c>
      <c r="Z7" s="18">
        <v>28058788</v>
      </c>
      <c r="AA7" s="18">
        <v>28058788</v>
      </c>
      <c r="AB7" s="18">
        <v>28058788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75687000</v>
      </c>
      <c r="S8" s="18">
        <v>0</v>
      </c>
      <c r="T8" s="18">
        <v>0</v>
      </c>
      <c r="U8" s="19">
        <v>75687000</v>
      </c>
      <c r="V8" s="18">
        <v>0</v>
      </c>
      <c r="W8" s="18">
        <v>75687000</v>
      </c>
      <c r="X8" s="18">
        <v>0</v>
      </c>
      <c r="Y8" s="18">
        <v>16688104</v>
      </c>
      <c r="Z8" s="18">
        <v>16688104</v>
      </c>
      <c r="AA8" s="18">
        <v>16688104</v>
      </c>
      <c r="AB8" s="18">
        <v>16688104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15932167000</v>
      </c>
      <c r="S9" s="18">
        <v>2000000000</v>
      </c>
      <c r="T9" s="18">
        <v>0</v>
      </c>
      <c r="U9" s="18">
        <v>17932167000</v>
      </c>
      <c r="V9" s="18">
        <v>0</v>
      </c>
      <c r="W9" s="18">
        <v>17698685342.209999</v>
      </c>
      <c r="X9" s="18">
        <v>233481657.78999999</v>
      </c>
      <c r="Y9" s="18">
        <v>17316928833.57</v>
      </c>
      <c r="Z9" s="18">
        <v>12466457082.57</v>
      </c>
      <c r="AA9" s="18">
        <v>12444229614.540001</v>
      </c>
      <c r="AB9" s="18">
        <v>12444229614.540001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12.5">
      <c r="A10" s="15" t="s">
        <v>145</v>
      </c>
      <c r="B10" s="16" t="s">
        <v>33</v>
      </c>
      <c r="C10" s="15" t="s">
        <v>34</v>
      </c>
      <c r="D10" s="17" t="s">
        <v>200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201</v>
      </c>
      <c r="J10" s="16"/>
      <c r="K10" s="16"/>
      <c r="L10" s="16"/>
      <c r="M10" s="16"/>
      <c r="N10" s="16" t="s">
        <v>202</v>
      </c>
      <c r="O10" s="16" t="s">
        <v>78</v>
      </c>
      <c r="P10" s="16" t="s">
        <v>40</v>
      </c>
      <c r="Q10" s="15" t="s">
        <v>203</v>
      </c>
      <c r="R10" s="18">
        <v>0</v>
      </c>
      <c r="S10" s="18">
        <v>1259000000</v>
      </c>
      <c r="T10" s="18">
        <v>0</v>
      </c>
      <c r="U10" s="18">
        <v>1259000000</v>
      </c>
      <c r="V10" s="18">
        <v>700000000</v>
      </c>
      <c r="W10" s="18">
        <v>559000000</v>
      </c>
      <c r="X10" s="18">
        <v>0</v>
      </c>
      <c r="Y10" s="18">
        <v>555513312.79999995</v>
      </c>
      <c r="Z10" s="18">
        <v>555513312.79999995</v>
      </c>
      <c r="AA10" s="18">
        <v>555513312.79999995</v>
      </c>
      <c r="AB10" s="18">
        <v>555513312.79999995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6" t="s">
        <v>36</v>
      </c>
      <c r="F11" s="16" t="s">
        <v>46</v>
      </c>
      <c r="G11" s="16" t="s">
        <v>46</v>
      </c>
      <c r="H11" s="16" t="s">
        <v>37</v>
      </c>
      <c r="I11" s="16" t="s">
        <v>57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58</v>
      </c>
      <c r="R11" s="18">
        <v>2000000000</v>
      </c>
      <c r="S11" s="18">
        <v>0</v>
      </c>
      <c r="T11" s="18">
        <v>2000000000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60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61</v>
      </c>
      <c r="R12" s="18">
        <v>423100000</v>
      </c>
      <c r="S12" s="18">
        <v>0</v>
      </c>
      <c r="T12" s="18">
        <v>0</v>
      </c>
      <c r="U12" s="18">
        <v>423100000</v>
      </c>
      <c r="V12" s="18">
        <v>0</v>
      </c>
      <c r="W12" s="18">
        <v>68309989.650000006</v>
      </c>
      <c r="X12" s="18">
        <v>354790010.35000002</v>
      </c>
      <c r="Y12" s="18">
        <v>68309989.650000006</v>
      </c>
      <c r="Z12" s="18">
        <v>68309989.650000006</v>
      </c>
      <c r="AA12" s="18">
        <v>68309989.650000006</v>
      </c>
      <c r="AB12" s="18">
        <v>68309989.650000006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63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64</v>
      </c>
      <c r="R13" s="18">
        <v>470922000</v>
      </c>
      <c r="S13" s="18">
        <v>0</v>
      </c>
      <c r="T13" s="18">
        <v>470922000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56.25">
      <c r="A14" s="15" t="s">
        <v>145</v>
      </c>
      <c r="B14" s="16" t="s">
        <v>33</v>
      </c>
      <c r="C14" s="15" t="s">
        <v>34</v>
      </c>
      <c r="D14" s="17" t="s">
        <v>65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66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67</v>
      </c>
      <c r="R14" s="18">
        <v>330386000</v>
      </c>
      <c r="S14" s="18">
        <v>0</v>
      </c>
      <c r="T14" s="18">
        <v>0</v>
      </c>
      <c r="U14" s="18">
        <v>330386000</v>
      </c>
      <c r="V14" s="18">
        <v>0</v>
      </c>
      <c r="W14" s="18">
        <v>330386000</v>
      </c>
      <c r="X14" s="18">
        <v>0</v>
      </c>
      <c r="Y14" s="18">
        <v>297221988</v>
      </c>
      <c r="Z14" s="18">
        <v>297221988</v>
      </c>
      <c r="AA14" s="18">
        <v>297221988</v>
      </c>
      <c r="AB14" s="18">
        <v>297221988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69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70</v>
      </c>
      <c r="R15" s="18">
        <v>22331000</v>
      </c>
      <c r="S15" s="18">
        <v>39081181</v>
      </c>
      <c r="T15" s="18">
        <v>0</v>
      </c>
      <c r="U15" s="18">
        <v>61412181</v>
      </c>
      <c r="V15" s="18">
        <v>0</v>
      </c>
      <c r="W15" s="18">
        <v>61412181</v>
      </c>
      <c r="X15" s="18">
        <v>0</v>
      </c>
      <c r="Y15" s="18">
        <v>39000000</v>
      </c>
      <c r="Z15" s="18">
        <v>39000000</v>
      </c>
      <c r="AA15" s="18">
        <v>39000000</v>
      </c>
      <c r="AB15" s="18">
        <v>39000000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72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73</v>
      </c>
      <c r="R16" s="18">
        <v>3044177000</v>
      </c>
      <c r="S16" s="18">
        <v>0</v>
      </c>
      <c r="T16" s="18">
        <v>37300000</v>
      </c>
      <c r="U16" s="18">
        <v>3006877000</v>
      </c>
      <c r="V16" s="18">
        <v>0</v>
      </c>
      <c r="W16" s="18">
        <v>2332594959</v>
      </c>
      <c r="X16" s="18">
        <v>674282041</v>
      </c>
      <c r="Y16" s="18">
        <v>2332594959</v>
      </c>
      <c r="Z16" s="18">
        <v>2332594959</v>
      </c>
      <c r="AA16" s="18">
        <v>2332594959</v>
      </c>
      <c r="AB16" s="18">
        <v>2332594959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6" t="s">
        <v>36</v>
      </c>
      <c r="F17" s="16" t="s">
        <v>46</v>
      </c>
      <c r="G17" s="16" t="s">
        <v>49</v>
      </c>
      <c r="H17" s="16" t="s">
        <v>43</v>
      </c>
      <c r="I17" s="16" t="s">
        <v>75</v>
      </c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76</v>
      </c>
      <c r="R17" s="18">
        <v>13650000000</v>
      </c>
      <c r="S17" s="18">
        <v>0</v>
      </c>
      <c r="T17" s="18">
        <v>0</v>
      </c>
      <c r="U17" s="18">
        <v>13650000000</v>
      </c>
      <c r="V17" s="18">
        <v>0</v>
      </c>
      <c r="W17" s="18">
        <v>12565748352.42</v>
      </c>
      <c r="X17" s="18">
        <v>1084251647.5799999</v>
      </c>
      <c r="Y17" s="18">
        <v>12565748352.42</v>
      </c>
      <c r="Z17" s="18">
        <v>12565748352.42</v>
      </c>
      <c r="AA17" s="18">
        <v>12565748352.42</v>
      </c>
      <c r="AB17" s="18">
        <v>12565748352.42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6" t="s">
        <v>36</v>
      </c>
      <c r="F18" s="16" t="s">
        <v>46</v>
      </c>
      <c r="G18" s="16" t="s">
        <v>78</v>
      </c>
      <c r="H18" s="16"/>
      <c r="I18" s="16"/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79</v>
      </c>
      <c r="R18" s="18">
        <v>3000000000</v>
      </c>
      <c r="S18" s="18">
        <v>0</v>
      </c>
      <c r="T18" s="18">
        <v>0</v>
      </c>
      <c r="U18" s="18">
        <v>3000000000</v>
      </c>
      <c r="V18" s="18">
        <v>0</v>
      </c>
      <c r="W18" s="18">
        <v>2246420640</v>
      </c>
      <c r="X18" s="18">
        <v>753579360</v>
      </c>
      <c r="Y18" s="18">
        <v>1982215275.0999999</v>
      </c>
      <c r="Z18" s="18">
        <v>1982215275.0999999</v>
      </c>
      <c r="AA18" s="18">
        <v>1982215275.0999999</v>
      </c>
      <c r="AB18" s="18">
        <v>1982215275.0999999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6" t="s">
        <v>36</v>
      </c>
      <c r="F19" s="16" t="s">
        <v>46</v>
      </c>
      <c r="G19" s="16" t="s">
        <v>81</v>
      </c>
      <c r="H19" s="16" t="s">
        <v>46</v>
      </c>
      <c r="I19" s="16" t="s">
        <v>82</v>
      </c>
      <c r="J19" s="16"/>
      <c r="K19" s="16"/>
      <c r="L19" s="16"/>
      <c r="M19" s="16"/>
      <c r="N19" s="16" t="s">
        <v>38</v>
      </c>
      <c r="O19" s="16" t="s">
        <v>39</v>
      </c>
      <c r="P19" s="16" t="s">
        <v>40</v>
      </c>
      <c r="Q19" s="15" t="s">
        <v>83</v>
      </c>
      <c r="R19" s="18">
        <v>3171900000</v>
      </c>
      <c r="S19" s="18">
        <v>383940944</v>
      </c>
      <c r="T19" s="18">
        <v>0</v>
      </c>
      <c r="U19" s="18">
        <v>3555840944</v>
      </c>
      <c r="V19" s="18">
        <v>0</v>
      </c>
      <c r="W19" s="18">
        <v>3555840944</v>
      </c>
      <c r="X19" s="18">
        <v>0</v>
      </c>
      <c r="Y19" s="18">
        <v>3524383240</v>
      </c>
      <c r="Z19" s="18">
        <v>3468983240</v>
      </c>
      <c r="AA19" s="18">
        <v>3449483240</v>
      </c>
      <c r="AB19" s="18">
        <v>3449483240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6" t="s">
        <v>36</v>
      </c>
      <c r="F20" s="16" t="s">
        <v>85</v>
      </c>
      <c r="G20" s="16" t="s">
        <v>37</v>
      </c>
      <c r="H20" s="16" t="s">
        <v>49</v>
      </c>
      <c r="I20" s="16" t="s">
        <v>86</v>
      </c>
      <c r="J20" s="16"/>
      <c r="K20" s="16"/>
      <c r="L20" s="16"/>
      <c r="M20" s="16"/>
      <c r="N20" s="16" t="s">
        <v>38</v>
      </c>
      <c r="O20" s="16" t="s">
        <v>87</v>
      </c>
      <c r="P20" s="16" t="s">
        <v>40</v>
      </c>
      <c r="Q20" s="15" t="s">
        <v>88</v>
      </c>
      <c r="R20" s="18">
        <v>3388600000</v>
      </c>
      <c r="S20" s="18">
        <v>0</v>
      </c>
      <c r="T20" s="18">
        <v>0</v>
      </c>
      <c r="U20" s="18">
        <v>3388600000</v>
      </c>
      <c r="V20" s="18">
        <v>0</v>
      </c>
      <c r="W20" s="18">
        <v>3388600000</v>
      </c>
      <c r="X20" s="18">
        <v>0</v>
      </c>
      <c r="Y20" s="18">
        <v>3371511698</v>
      </c>
      <c r="Z20" s="18">
        <v>1805620257.01</v>
      </c>
      <c r="AA20" s="18">
        <v>1805620257.01</v>
      </c>
      <c r="AB20" s="18">
        <v>1805620257.01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6" t="s">
        <v>36</v>
      </c>
      <c r="F21" s="16" t="s">
        <v>90</v>
      </c>
      <c r="G21" s="16" t="s">
        <v>37</v>
      </c>
      <c r="H21" s="16"/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91</v>
      </c>
      <c r="R21" s="18">
        <v>238090000</v>
      </c>
      <c r="S21" s="18">
        <v>82199875</v>
      </c>
      <c r="T21" s="18">
        <v>0</v>
      </c>
      <c r="U21" s="18">
        <v>320289875</v>
      </c>
      <c r="V21" s="18">
        <v>0</v>
      </c>
      <c r="W21" s="18">
        <v>320193828</v>
      </c>
      <c r="X21" s="18">
        <v>96047</v>
      </c>
      <c r="Y21" s="18">
        <v>320193828</v>
      </c>
      <c r="Z21" s="18">
        <v>320132792</v>
      </c>
      <c r="AA21" s="18">
        <v>320132792</v>
      </c>
      <c r="AB21" s="18">
        <v>320132792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6" t="s">
        <v>36</v>
      </c>
      <c r="F22" s="16" t="s">
        <v>90</v>
      </c>
      <c r="G22" s="16" t="s">
        <v>49</v>
      </c>
      <c r="H22" s="16" t="s">
        <v>37</v>
      </c>
      <c r="I22" s="16"/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93</v>
      </c>
      <c r="R22" s="18">
        <v>428200000</v>
      </c>
      <c r="S22" s="18">
        <v>0</v>
      </c>
      <c r="T22" s="18">
        <v>0</v>
      </c>
      <c r="U22" s="18">
        <v>428200000</v>
      </c>
      <c r="V22" s="18">
        <v>0</v>
      </c>
      <c r="W22" s="18">
        <v>372184204</v>
      </c>
      <c r="X22" s="18">
        <v>56015796</v>
      </c>
      <c r="Y22" s="18">
        <v>372184204</v>
      </c>
      <c r="Z22" s="18">
        <v>372184204</v>
      </c>
      <c r="AA22" s="18">
        <v>372184204</v>
      </c>
      <c r="AB22" s="18">
        <v>372184204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45">
      <c r="A23" s="15" t="s">
        <v>145</v>
      </c>
      <c r="B23" s="16" t="s">
        <v>33</v>
      </c>
      <c r="C23" s="15" t="s">
        <v>34</v>
      </c>
      <c r="D23" s="17" t="s">
        <v>206</v>
      </c>
      <c r="E23" s="16" t="s">
        <v>36</v>
      </c>
      <c r="F23" s="16" t="s">
        <v>90</v>
      </c>
      <c r="G23" s="16" t="s">
        <v>207</v>
      </c>
      <c r="H23" s="16"/>
      <c r="I23" s="16"/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208</v>
      </c>
      <c r="R23" s="18">
        <v>0</v>
      </c>
      <c r="S23" s="18">
        <v>3000000</v>
      </c>
      <c r="T23" s="18">
        <v>0</v>
      </c>
      <c r="U23" s="18">
        <v>3000000</v>
      </c>
      <c r="V23" s="18">
        <v>0</v>
      </c>
      <c r="W23" s="18">
        <v>1000000</v>
      </c>
      <c r="X23" s="18">
        <v>2000000</v>
      </c>
      <c r="Y23" s="18">
        <v>960100</v>
      </c>
      <c r="Z23" s="18">
        <v>960100</v>
      </c>
      <c r="AA23" s="18">
        <v>960100</v>
      </c>
      <c r="AB23" s="18">
        <v>960100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A08</v>
      </c>
    </row>
    <row r="24" spans="1:32" ht="135">
      <c r="A24" s="15" t="s">
        <v>145</v>
      </c>
      <c r="B24" s="16" t="s">
        <v>33</v>
      </c>
      <c r="C24" s="15" t="s">
        <v>34</v>
      </c>
      <c r="D24" s="17" t="s">
        <v>94</v>
      </c>
      <c r="E24" s="16" t="s">
        <v>95</v>
      </c>
      <c r="F24" s="16" t="s">
        <v>96</v>
      </c>
      <c r="G24" s="16" t="s">
        <v>97</v>
      </c>
      <c r="H24" s="16" t="s">
        <v>98</v>
      </c>
      <c r="I24" s="16" t="s">
        <v>99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100</v>
      </c>
      <c r="R24" s="18">
        <v>4467344345</v>
      </c>
      <c r="S24" s="18">
        <v>0</v>
      </c>
      <c r="T24" s="18">
        <v>0</v>
      </c>
      <c r="U24" s="18">
        <v>4467344345</v>
      </c>
      <c r="V24" s="18">
        <v>0</v>
      </c>
      <c r="W24" s="18">
        <v>4466722737.0100002</v>
      </c>
      <c r="X24" s="18">
        <v>621607.99</v>
      </c>
      <c r="Y24" s="18">
        <v>4441190862.0100002</v>
      </c>
      <c r="Z24" s="18">
        <v>3552242187.2199998</v>
      </c>
      <c r="AA24" s="18">
        <v>3547747187.2199998</v>
      </c>
      <c r="AB24" s="18">
        <v>3547747187.2199998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C3</v>
      </c>
    </row>
    <row r="25" spans="1:32" ht="78.75">
      <c r="A25" s="15" t="s">
        <v>146</v>
      </c>
      <c r="B25" s="16" t="s">
        <v>33</v>
      </c>
      <c r="C25" s="23" t="s">
        <v>34</v>
      </c>
      <c r="D25" s="24" t="s">
        <v>101</v>
      </c>
      <c r="E25" s="22" t="s">
        <v>95</v>
      </c>
      <c r="F25" s="22" t="s">
        <v>102</v>
      </c>
      <c r="G25" s="22" t="s">
        <v>97</v>
      </c>
      <c r="H25" s="22" t="s">
        <v>81</v>
      </c>
      <c r="I25" s="22" t="s">
        <v>103</v>
      </c>
      <c r="J25" s="22"/>
      <c r="K25" s="22"/>
      <c r="L25" s="22"/>
      <c r="M25" s="22"/>
      <c r="N25" s="22" t="s">
        <v>38</v>
      </c>
      <c r="O25" s="22" t="s">
        <v>39</v>
      </c>
      <c r="P25" s="22" t="s">
        <v>40</v>
      </c>
      <c r="Q25" s="23" t="s">
        <v>104</v>
      </c>
      <c r="R25" s="25">
        <v>24806150451</v>
      </c>
      <c r="S25" s="25">
        <v>0</v>
      </c>
      <c r="T25" s="25">
        <v>0</v>
      </c>
      <c r="U25" s="25">
        <v>24806150451</v>
      </c>
      <c r="V25" s="25">
        <v>0</v>
      </c>
      <c r="W25" s="25">
        <v>24576098719.889999</v>
      </c>
      <c r="X25" s="25">
        <v>230051731.11000001</v>
      </c>
      <c r="Y25" s="25">
        <v>12790467676.889999</v>
      </c>
      <c r="Z25" s="25">
        <v>7185394391.3000002</v>
      </c>
      <c r="AA25" s="25">
        <v>7127034391.3000002</v>
      </c>
      <c r="AB25" s="25">
        <v>7127034391.3000002</v>
      </c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>C11</v>
      </c>
    </row>
    <row r="26" spans="1:32" ht="78.75">
      <c r="A26" s="15" t="s">
        <v>146</v>
      </c>
      <c r="B26" s="22" t="s">
        <v>33</v>
      </c>
      <c r="C26" s="23" t="s">
        <v>34</v>
      </c>
      <c r="D26" s="24" t="s">
        <v>105</v>
      </c>
      <c r="E26" s="22" t="s">
        <v>95</v>
      </c>
      <c r="F26" s="22" t="s">
        <v>102</v>
      </c>
      <c r="G26" s="22" t="s">
        <v>97</v>
      </c>
      <c r="H26" s="22" t="s">
        <v>106</v>
      </c>
      <c r="I26" s="22" t="s">
        <v>103</v>
      </c>
      <c r="J26" s="22"/>
      <c r="K26" s="22"/>
      <c r="L26" s="22"/>
      <c r="M26" s="22"/>
      <c r="N26" s="22" t="s">
        <v>38</v>
      </c>
      <c r="O26" s="22" t="s">
        <v>39</v>
      </c>
      <c r="P26" s="22" t="s">
        <v>40</v>
      </c>
      <c r="Q26" s="23" t="s">
        <v>104</v>
      </c>
      <c r="R26" s="25">
        <v>3035962836</v>
      </c>
      <c r="S26" s="25">
        <v>0</v>
      </c>
      <c r="T26" s="25">
        <v>0</v>
      </c>
      <c r="U26" s="25">
        <v>3035962836</v>
      </c>
      <c r="V26" s="25">
        <v>0</v>
      </c>
      <c r="W26" s="25">
        <v>3030712126.6599998</v>
      </c>
      <c r="X26" s="25">
        <v>5250709.34</v>
      </c>
      <c r="Y26" s="25">
        <v>2416472493.6599998</v>
      </c>
      <c r="Z26" s="25">
        <v>151195489.49000001</v>
      </c>
      <c r="AA26" s="25">
        <v>151195489.49000001</v>
      </c>
      <c r="AB26" s="25">
        <v>151195489.49000001</v>
      </c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>C12</v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bestFit="1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137166057561.19</v>
      </c>
      <c r="C4" t="s">
        <v>145</v>
      </c>
      <c r="D4" s="13">
        <f t="shared" ref="D4:D15" si="0">B4</f>
        <v>137166057561.19</v>
      </c>
      <c r="F4" s="78" t="s">
        <v>145</v>
      </c>
      <c r="G4" s="13">
        <v>130688425574.2</v>
      </c>
      <c r="H4" t="s">
        <v>145</v>
      </c>
      <c r="I4" s="13">
        <f t="shared" ref="I4:I15" si="1">G4</f>
        <v>130688425574.2</v>
      </c>
      <c r="J4" s="13"/>
      <c r="K4" s="78" t="s">
        <v>145</v>
      </c>
      <c r="L4" s="13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2">
        <f t="shared" ref="P4:P15" si="4">+D4/N4</f>
        <v>0.81910185841495375</v>
      </c>
      <c r="Q4" s="72">
        <f t="shared" ref="Q4:Q15" si="5">+I4/N4</f>
        <v>0.78041998264328394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>
        <v>137166057561.19</v>
      </c>
      <c r="F17" s="78" t="s">
        <v>148</v>
      </c>
      <c r="G17">
        <v>130688425574.2</v>
      </c>
      <c r="K17" s="78" t="s">
        <v>148</v>
      </c>
      <c r="L17">
        <v>167459097000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4441190862.0100002</v>
      </c>
      <c r="C23" t="str">
        <f t="shared" ref="C23:C34" si="6">A23</f>
        <v>Enero</v>
      </c>
      <c r="D23" s="13">
        <f t="shared" ref="D23:D34" si="7">B23</f>
        <v>4441190862.0100002</v>
      </c>
      <c r="F23" s="78" t="s">
        <v>145</v>
      </c>
      <c r="G23" s="13">
        <v>3552242187.2199998</v>
      </c>
      <c r="H23" t="str">
        <f t="shared" ref="H23:H34" si="8">F23</f>
        <v>Enero</v>
      </c>
      <c r="I23" s="13">
        <f t="shared" ref="I23:I34" si="9">G23</f>
        <v>3552242187.2199998</v>
      </c>
      <c r="K23" s="78" t="s">
        <v>145</v>
      </c>
      <c r="L23" s="13">
        <v>4467344345</v>
      </c>
      <c r="M23" s="13" t="str">
        <f t="shared" ref="M23:M34" si="10">K23</f>
        <v>Enero</v>
      </c>
      <c r="N23" s="13">
        <f t="shared" ref="N23:N34" si="11">L23</f>
        <v>4467344345</v>
      </c>
      <c r="O23" s="13"/>
      <c r="P23" s="72">
        <f t="shared" ref="P23:P34" si="12">+D23/N23</f>
        <v>0.99414563083338947</v>
      </c>
      <c r="Q23" s="72">
        <f t="shared" ref="Q23:Q34" si="13">+I23/N23</f>
        <v>0.79515746109784147</v>
      </c>
    </row>
    <row r="24" spans="1:18">
      <c r="A24" s="78" t="s">
        <v>146</v>
      </c>
      <c r="B24" s="13">
        <v>15206940170.549999</v>
      </c>
      <c r="C24" t="str">
        <f t="shared" si="6"/>
        <v>Febrero</v>
      </c>
      <c r="D24" s="13">
        <f t="shared" si="7"/>
        <v>15206940170.549999</v>
      </c>
      <c r="F24" s="78" t="s">
        <v>146</v>
      </c>
      <c r="G24" s="13">
        <v>7336589880.79</v>
      </c>
      <c r="H24" t="str">
        <f t="shared" si="8"/>
        <v>Febrero</v>
      </c>
      <c r="I24" s="13">
        <f t="shared" si="9"/>
        <v>7336589880.79</v>
      </c>
      <c r="K24" s="78" t="s">
        <v>146</v>
      </c>
      <c r="L24" s="13">
        <v>27842113287</v>
      </c>
      <c r="M24" s="13" t="str">
        <f t="shared" si="10"/>
        <v>Febrero</v>
      </c>
      <c r="N24" s="13">
        <f t="shared" si="11"/>
        <v>27842113287</v>
      </c>
      <c r="O24" s="13"/>
      <c r="P24" s="72">
        <f t="shared" si="12"/>
        <v>0.54618483926830375</v>
      </c>
      <c r="Q24" s="72">
        <f t="shared" si="13"/>
        <v>0.26350693301056244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>
        <v>19648131032.559998</v>
      </c>
      <c r="F36" s="78" t="s">
        <v>148</v>
      </c>
      <c r="G36">
        <v>10888832068.01</v>
      </c>
      <c r="K36" s="78" t="s">
        <v>148</v>
      </c>
      <c r="L36">
        <v>32309457632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171926441345</v>
      </c>
      <c r="D42" s="13">
        <v>141607248423.20001</v>
      </c>
      <c r="E42" s="13">
        <v>134240667761.42</v>
      </c>
      <c r="F42" t="str">
        <f t="shared" ref="F42:F53" si="14">B42</f>
        <v>Enero</v>
      </c>
      <c r="G42" s="72">
        <f>+GETPIVOTDATA("SCOMPROMISO",$B$41,"Mes","Enero")/GETPIVOTDATA(" APR. VIGENTE",$B$41,"Mes","Enero")</f>
        <v>0.82365020363005537</v>
      </c>
      <c r="H42" s="72">
        <f>+GETPIVOTDATA("SOBLIGACION",$B$41,"Mes","Enero")/GETPIVOTDATA(" APR. VIGENTE",$B$41,"Mes","Enero")</f>
        <v>0.78080292194289647</v>
      </c>
    </row>
    <row r="43" spans="1:18">
      <c r="B43" t="s">
        <v>146</v>
      </c>
      <c r="C43" s="13">
        <v>27842113287</v>
      </c>
      <c r="D43" s="13">
        <v>15206940170.549999</v>
      </c>
      <c r="E43" s="13">
        <v>7336589880.79</v>
      </c>
      <c r="F43" t="str">
        <f t="shared" si="14"/>
        <v>Febrero</v>
      </c>
      <c r="G43" s="72">
        <f>+GETPIVOTDATA("SCOMPROMISO",$B$41,"Mes","Febrero")/GETPIVOTDATA(" APR. VIGENTE",$B$41,"Mes","Febrero")</f>
        <v>0.54618483926830375</v>
      </c>
      <c r="H43" s="72">
        <f>+GETPIVOTDATA("SOBLIGACION",$B$41,"Mes","Febrero")/GETPIVOTDATA(" APR. VIGENTE",$B$41,"Mes","Febrero")</f>
        <v>0.26350693301056244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>
        <v>199768554632</v>
      </c>
      <c r="D55">
        <v>156814188593.75</v>
      </c>
      <c r="E55">
        <v>141577257642.20999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0.81910185841495375</v>
      </c>
      <c r="L61" s="35">
        <f>'BASE OBL-COM'!Q4</f>
        <v>0.78041998264328394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0.99414563083338947</v>
      </c>
      <c r="L76" s="76">
        <f>'BASE OBL-COM'!Q23</f>
        <v>0.79515746109784147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>
        <f>'BASE OBL-COM'!P24</f>
        <v>0.54618483926830375</v>
      </c>
      <c r="L77" s="76">
        <f>'BASE OBL-COM'!Q24</f>
        <v>0.26350693301056244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0.60812320826766386</v>
      </c>
      <c r="F88" s="64">
        <f>+Ejecucion!D11/Ejecucion!B11</f>
        <v>0.33701686336032644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0.82365020363005537</v>
      </c>
      <c r="L92" s="76">
        <f>'BASE OBL-COM'!H42</f>
        <v>0.78080292194289647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>
        <f>'BASE OBL-COM'!G43</f>
        <v>0.54618483926830375</v>
      </c>
      <c r="L93" s="76">
        <f>'BASE OBL-COM'!H43</f>
        <v>0.26350693301056244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2024-12-02T22:05:05Z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