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0" documentId="14_{C800535E-D4BB-4B6C-8F96-05805221B594}" xr6:coauthVersionLast="47" xr6:coauthVersionMax="47" xr10:uidLastSave="{00000000-0000-0000-0000-000000000000}"/>
  <workbookProtection workbookAlgorithmName="SHA-512" workbookHashValue="pAONzJgdfOBEg9pYe1E6CbESVHbd+bUOT1vb0TNjOf4WF0zcbvCIEOidM5ZwJLYb3uNI7dbKdZtRHuHcnkzF2w==" workbookSaltValue="TJSYIRbEcYN4DysCeEdh7g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92" r:id="rId8"/>
    <pivotCache cacheId="97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6" i="32"/>
  <c r="D7" i="2"/>
  <c r="D10" i="2"/>
  <c r="G48" i="32"/>
  <c r="D19" i="2"/>
  <c r="D16" i="2"/>
  <c r="C10" i="2"/>
  <c r="H53" i="32"/>
  <c r="C17" i="2"/>
  <c r="B7" i="2"/>
  <c r="G49" i="32"/>
  <c r="C18" i="2"/>
  <c r="H42" i="32"/>
  <c r="G50" i="32"/>
  <c r="H45" i="32"/>
  <c r="G46" i="32"/>
  <c r="G51" i="32"/>
  <c r="B9" i="2"/>
  <c r="C19" i="2"/>
  <c r="H47" i="32"/>
  <c r="H52" i="32"/>
  <c r="D18" i="2"/>
  <c r="C9" i="2"/>
  <c r="H44" i="32"/>
  <c r="B10" i="2"/>
  <c r="C7" i="2"/>
  <c r="D17" i="2"/>
  <c r="G42" i="32"/>
  <c r="G44" i="32"/>
  <c r="H51" i="32"/>
  <c r="B20" i="2"/>
  <c r="D20" i="2"/>
  <c r="B19" i="2"/>
  <c r="G52" i="32"/>
  <c r="H49" i="32"/>
  <c r="C16" i="2"/>
  <c r="C20" i="2"/>
  <c r="D9" i="2"/>
  <c r="B18" i="2"/>
  <c r="G43" i="32"/>
  <c r="H43" i="32"/>
  <c r="B16" i="2"/>
  <c r="H48" i="32"/>
  <c r="G47" i="32"/>
  <c r="H50" i="32"/>
  <c r="B17" i="2"/>
  <c r="G45" i="32"/>
  <c r="G53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P27" i="32" s="1"/>
  <c r="K80" i="11" s="1"/>
  <c r="D28" i="32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D13" i="32"/>
  <c r="P13" i="32" s="1"/>
  <c r="K70" i="11" s="1"/>
  <c r="D14" i="32"/>
  <c r="P14" i="32" s="1"/>
  <c r="K71" i="11" s="1"/>
  <c r="D15" i="32"/>
  <c r="P15" i="32" s="1"/>
  <c r="K72" i="11" s="1"/>
  <c r="P12" i="32" l="1"/>
  <c r="K69" i="11" s="1"/>
  <c r="P28" i="32"/>
  <c r="K81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82" i="11" l="1"/>
  <c r="I83" i="11"/>
  <c r="E71" i="11"/>
  <c r="H84" i="11"/>
  <c r="E70" i="11"/>
  <c r="H103" i="11"/>
  <c r="H102" i="11"/>
  <c r="E86" i="11"/>
  <c r="E85" i="11"/>
  <c r="E84" i="11"/>
  <c r="H100" i="11"/>
  <c r="H99" i="11"/>
  <c r="E83" i="11"/>
  <c r="H98" i="11"/>
  <c r="E82" i="11"/>
  <c r="H97" i="11"/>
  <c r="E81" i="11"/>
  <c r="E80" i="11"/>
  <c r="I103" i="11"/>
  <c r="I100" i="11"/>
  <c r="H86" i="11"/>
  <c r="I99" i="11"/>
  <c r="H101" i="11"/>
  <c r="E79" i="11"/>
  <c r="I102" i="11"/>
  <c r="I101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98" i="11" l="1"/>
  <c r="F103" i="11"/>
  <c r="F97" i="11"/>
  <c r="F93" i="11"/>
  <c r="F92" i="11"/>
  <c r="F94" i="11"/>
  <c r="F95" i="11"/>
  <c r="F10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<sst xmlns="http://schemas.openxmlformats.org/spreadsheetml/2006/main" count="2325" uniqueCount="212">
  <si>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</si>
  <si>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</si>
  <si>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</si>
  <si>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</si>
  <si>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</si>
  <si>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</si>
  <si>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</si>
  <si>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</si>
  <si>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</si>
  <si>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</si>
  <si>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</si>
  <si>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</si>
  <si>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</si>
  <si>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</si>
  <si>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</si>
  <si>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</si>
  <si>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</si>
  <si>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</si>
  <si>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</si>
  <si>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</si>
  <si>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</si>
  <si>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</si>
  <si>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</si>
  <si>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</si>
  <si>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</si>
  <si>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</si>
  <si>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</si>
  <si>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</si>
  <si>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</si>
  <si>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</si>
  <si>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</si>
  <si>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</si>
  <si>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</si>
  <si>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</si>
  <si>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</si>
  <si>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</si>
  <si>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</si>
  <si>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</si>
  <si>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</si>
  <si>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</si>
  <si>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</si>
  <si>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</si>
  <si>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</si>
  <si>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</si>
  <si>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</si>
  <si>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</si>
  <si>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</si>
  <si>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</si>
  <si>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</si>
  <si>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</si>
  <si>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</si>
  <si>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</si>
  <si>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</si>
  <si>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</si>
  <si>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</si>
  <si>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</si>
  <si>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</si>
  <si>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</si>
  <si>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</si>
  <si>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</si>
  <si>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</si>
  <si>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</si>
  <si>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</si>
  <si>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</si>
  <si>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</si>
  <si>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</si>
  <si>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</si>
  <si>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</si>
  <si>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</si>
  <si>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</si>
  <si>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</si>
  <si>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</si>
  <si>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</si>
  <si>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</si>
  <si>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</si>
  <si>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</si>
  <si>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</si>
  <si>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</si>
  <si>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</si>
  <si>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</si>
  <si>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</si>
  <si>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</si>
  <si>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</si>
  <si>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</si>
  <si>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</si>
  <si>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</si>
  <si>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</si>
  <si>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</si>
  <si>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</si>
  <si>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</si>
  <si>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</si>
  <si>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</si>
  <si>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</si>
  <si>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</si>
  <si>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</si>
  <si>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</si>
  <si>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</si>
  <si>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</si>
  <si>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</si>
  <si>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</si>
  <si>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</si>
  <si>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</si>
  <si>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</si>
  <si>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</si>
  <si>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</si>
  <si>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</si>
  <si>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</si>
  <si>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</si>
  <si>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</si>
  <si>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</si>
  <si>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</si>
  <si>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</si>
  <si>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</si>
  <si>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</si>
  <si>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</si>
  <si>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</si>
  <si>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</si>
  <si>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</si>
  <si>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</si>
  <si>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</si>
  <si>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</si>
  <si>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</si>
  <si>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</si>
  <si>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</si>
  <si>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</si>
  <si>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</si>
  <si>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</si>
  <si>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</si>
  <si>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</si>
  <si>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</si>
  <si>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</si>
  <si>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</si>
  <si>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</si>
  <si>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</si>
  <si>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</si>
  <si>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</si>
  <si>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</si>
  <si>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</si>
  <si>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</si>
  <si>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</si>
  <si>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</si>
  <si>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</si>
  <si>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</si>
  <si>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</si>
  <si>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</si>
  <si>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</si>
  <si>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</si>
  <si>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</si>
  <si>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</si>
  <si>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</si>
  <si>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</si>
  <si>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</si>
  <si>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</si>
  <si>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</si>
  <si>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</si>
  <si>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</si>
  <si>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</si>
  <si>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</si>
  <si>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</si>
  <si>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</si>
  <si>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</si>
  <si>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</si>
  <si>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</si>
  <si>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</si>
  <si>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</si>
  <si>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</si>
  <si>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</si>
  <si>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</si>
  <si>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</si>
  <si>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</si>
  <si>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</si>
  <si>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</si>
  <si>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</si>
  <si>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</si>
  <si>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</si>
  <si>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</si>
  <si>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</si>
  <si>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</si>
  <si>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</si>
  <si>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</si>
  <si>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</si>
  <si>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</si>
  <si>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</si>
  <si>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</si>
  <si>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</si>
  <si>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</si>
  <si>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</si>
  <si>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</si>
  <si>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</si>
  <si>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</si>
  <si>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</si>
  <si>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</si>
  <si>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</si>
  <si>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</si>
  <si>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</si>
  <si>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</si>
  <si>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</si>
  <si>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</si>
  <si>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</si>
  <si>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</si>
  <si>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</si>
  <si>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</si>
  <si>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</si>
  <si>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</si>
  <si>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Diciembre 2024 ( Millones) 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</si>
  <si>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</si>
  <si>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</si>
  <si>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</si>
  <si>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</si>
  <si>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A-08-05</t>
  </si>
  <si>
    <t>05</t>
  </si>
  <si>
    <t>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</si>
</sst>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1149350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215900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406400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101600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6350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368300</xdr:colOff>
      <xdr:row>11</xdr:row>
      <xdr:rowOff>139700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79.533583449076" createdVersion="6" refreshedVersion="8" minRefreshableVersion="3" recordCount="282" xr:uid="{00000000-000A-0000-FFFF-FFFF0D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1804878229"/>
    </cacheField>
    <cacheField name="APR BLOQUEADA" numFmtId="0">
      <sharedItems containsString="0" containsBlank="1" containsNumber="1" containsInteger="1" minValue="0" maxValue="122543000"/>
    </cacheField>
    <cacheField name="CDP" numFmtId="0">
      <sharedItems containsString="0" containsBlank="1" containsNumber="1" minValue="0" maxValue="71804878229"/>
    </cacheField>
    <cacheField name="APR. DISPONIBLE" numFmtId="0">
      <sharedItems containsString="0" containsBlank="1" containsNumber="1" minValue="0" maxValue="753579360"/>
    </cacheField>
    <cacheField name="COMPROMISO" numFmtId="0">
      <sharedItems containsString="0" containsBlank="1" containsNumber="1" minValue="0" maxValue="70454623400.740005"/>
    </cacheField>
    <cacheField name="OBLIGACION" numFmtId="0">
      <sharedItems containsString="0" containsBlank="1" containsNumber="1" minValue="0" maxValue="70454623400.740005"/>
    </cacheField>
    <cacheField name="ORDEN PAGO" numFmtId="0">
      <sharedItems containsString="0" containsBlank="1" containsNumber="1" minValue="0" maxValue="70445163890.740005"/>
    </cacheField>
    <cacheField name="PAGOS" numFmtId="0">
      <sharedItems containsString="0" containsBlank="1" containsNumber="1" minValue="0" maxValue="70445163890.740005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79.533584606485" createdVersion="6" refreshedVersion="8" minRefreshableVersion="3" recordCount="12" xr:uid="{00000000-000A-0000-FFFF-FFFF11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96552716628497082" maxValue="0.96552716628497082"/>
    </cacheField>
    <cacheField name="ACTUAL-OBLIGADO" numFmtId="168">
      <sharedItems containsMixedTypes="1" containsNumber="1" minValue="0.9541919371307731" maxValue="0.95419193713077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468125062"/>
    <n v="71804878229"/>
    <n v="0"/>
    <n v="71804878229"/>
    <n v="0"/>
    <n v="70454623400.740005"/>
    <n v="70454623400.740005"/>
    <n v="70445163890.740005"/>
    <n v="70445163890.740005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667085081"/>
    <n v="0"/>
    <n v="27160456081"/>
    <n v="0"/>
    <n v="26998740519"/>
    <n v="161715562"/>
    <n v="26755556423"/>
    <n v="26755556423"/>
    <n v="26755556423"/>
    <n v="26755556423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9969898927"/>
    <n v="19969898927"/>
    <n v="19969898927"/>
    <n v="19969898927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98673933"/>
    <n v="98673933"/>
    <n v="98673933"/>
    <n v="98673933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31864713"/>
    <n v="31864713"/>
    <n v="31864713"/>
    <n v="31864713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23140843"/>
    <n v="23140843"/>
    <n v="23140843"/>
    <n v="23140843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885920858.790001"/>
    <n v="46246141.210000001"/>
    <n v="16641399036.17"/>
    <n v="16478688952.17"/>
    <n v="15185780199.18"/>
    <n v="15185780199.18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0"/>
    <n v="1259000000"/>
    <n v="0"/>
    <n v="1236285543.25"/>
    <n v="555513312.79999995"/>
    <n v="555513312.79999995"/>
    <n v="555513312.79999995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77225816.489999995"/>
    <n v="345874183.50999999"/>
    <n v="77225816.489999995"/>
    <n v="77225816.489999995"/>
    <n v="69357099.109999999"/>
    <n v="69357099.109999999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470922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316857819"/>
    <n v="316857819"/>
    <n v="316857819"/>
    <n v="316857819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39081181"/>
    <n v="0"/>
    <n v="61412181"/>
    <n v="0"/>
    <n v="61412181"/>
    <n v="0"/>
    <n v="39000000"/>
    <n v="39000000"/>
    <n v="39000000"/>
    <n v="390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37300000"/>
    <n v="3006877000"/>
    <n v="0"/>
    <n v="2847536169"/>
    <n v="159340831"/>
    <n v="2847536169"/>
    <n v="2847536169"/>
    <n v="2847536169"/>
    <n v="2847536169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13410094311.290001"/>
    <n v="239905688.71000001"/>
    <n v="13410094311.290001"/>
    <n v="13410094311.290001"/>
    <n v="13410094311.290001"/>
    <n v="13410094311.290001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2246420640"/>
    <n v="753579360"/>
    <n v="2050424413.0999999"/>
    <n v="2050424413.0999999"/>
    <n v="2050424413.0999999"/>
    <n v="2050424413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683940944"/>
    <n v="0"/>
    <n v="3855840944"/>
    <n v="0"/>
    <n v="3855840944"/>
    <n v="0"/>
    <n v="3852852944"/>
    <n v="3810849240"/>
    <n v="3527183240"/>
    <n v="352718324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181694107.0100002"/>
    <n v="2168992887.0100002"/>
    <n v="2168992887.0100002"/>
    <n v="2168992887.0100002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88609375"/>
    <n v="0"/>
    <n v="326699375"/>
    <n v="0"/>
    <n v="326095728"/>
    <n v="603647"/>
    <n v="326034692"/>
    <n v="326034692"/>
    <n v="320132792"/>
    <n v="32013279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372184204"/>
    <n v="56015796"/>
    <n v="372184204"/>
    <n v="372184204"/>
    <n v="372184204"/>
    <n v="372184204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466722737.0100002"/>
    <n v="621607.99"/>
    <n v="4359418201.6800003"/>
    <n v="4330773733.6800003"/>
    <n v="4302011075.6800003"/>
    <n v="4302011075.6800003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24783764800.299999"/>
    <n v="22385650.699999999"/>
    <n v="23933116391.91"/>
    <n v="23544009891.91"/>
    <n v="11841061996.09"/>
    <n v="11841061996.09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3031708793.6599998"/>
    <n v="4254042.34"/>
    <n v="3031542107.5100002"/>
    <n v="2229445841.6500001"/>
    <n v="341542277.04000002"/>
    <n v="341542277.04000002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96552716628497082"/>
    <n v="0.9541919371307731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0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5" cacheId="9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3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2" cacheId="9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9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J16" sqref="J16"/>
    </sheetView>
  </sheetViews>
  <sheetFormatPr baseColWidth="10" defaultColWidth="11.5546875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4467344345</v>
      </c>
      <c r="C6" s="101">
        <f t="shared" si="0"/>
        <v>4359418201.6800003</v>
      </c>
      <c r="D6" s="101">
        <f t="shared" si="0"/>
        <v>4330773733.6800003</v>
      </c>
      <c r="E6" s="101">
        <f t="shared" si="0"/>
        <v>107926143.31999969</v>
      </c>
      <c r="F6" s="102">
        <f t="shared" si="0"/>
        <v>0.97584109596548241</v>
      </c>
      <c r="G6" s="102">
        <f t="shared" si="0"/>
        <v>0.96942912818599847</v>
      </c>
    </row>
    <row r="7" spans="1:12" ht="57">
      <c r="A7" s="91" t="s">
        <v>118</v>
      </c>
      <c r="B7" s="103">
        <f>GETPIVOTDATA("Suma de APR. VIGENTE",CRIS!$A$3,"CM - A","C3")</f>
        <v>4467344345</v>
      </c>
      <c r="C7" s="103">
        <f>GETPIVOTDATA("Suma de COMPROMISO",CRIS!$A$3,"CM - A","C3")</f>
        <v>4359418201.6800003</v>
      </c>
      <c r="D7" s="103">
        <f>GETPIVOTDATA("Suma de OBLIGACION",CRIS!$A$3,"CM - A","C3")</f>
        <v>4330773733.6800003</v>
      </c>
      <c r="E7" s="104">
        <f>+B7-C7</f>
        <v>107926143.31999969</v>
      </c>
      <c r="F7" s="105">
        <f>+C7/B7</f>
        <v>0.97584109596548241</v>
      </c>
      <c r="G7" s="106">
        <f>+D7/B7</f>
        <v>0.96942912818599847</v>
      </c>
    </row>
    <row r="8" spans="1:12" ht="36">
      <c r="A8" s="90" t="s">
        <v>119</v>
      </c>
      <c r="B8" s="101">
        <f>SUM(B9:B10)</f>
        <v>27842113287</v>
      </c>
      <c r="C8" s="101">
        <f>SUM(C9:C10)</f>
        <v>26964658499.419998</v>
      </c>
      <c r="D8" s="101">
        <f>SUM(D9:D10)</f>
        <v>25773455733.560001</v>
      </c>
      <c r="E8" s="101">
        <f>SUM(E9:E10)</f>
        <v>877454787.57999992</v>
      </c>
      <c r="F8" s="107">
        <f>+C8/B8</f>
        <v>0.96848461973647304</v>
      </c>
      <c r="G8" s="108">
        <f>+D8/B8</f>
        <v>0.92570041174259954</v>
      </c>
    </row>
    <row r="9" spans="1:12" ht="57">
      <c r="A9" s="92" t="s">
        <v>201</v>
      </c>
      <c r="B9" s="103">
        <f>GETPIVOTDATA("Suma de APR. VIGENTE",CRIS!$A$3,"CM - A","C11")</f>
        <v>24806150451</v>
      </c>
      <c r="C9" s="103">
        <f>GETPIVOTDATA("Suma de COMPROMISO",CRIS!$A$3,"CM - A","C11")</f>
        <v>23933116391.91</v>
      </c>
      <c r="D9" s="103">
        <f>GETPIVOTDATA("Suma de OBLIGACION",CRIS!$A$3,"CM - A","C11")</f>
        <v>23544009891.91</v>
      </c>
      <c r="E9" s="103">
        <f>+B9-C9</f>
        <v>873034059.09000015</v>
      </c>
      <c r="F9" s="105">
        <f>+C9/B9</f>
        <v>0.96480574199473157</v>
      </c>
      <c r="G9" s="109">
        <f>+D9/B9</f>
        <v>0.9491198539014295</v>
      </c>
    </row>
    <row r="10" spans="1:12" ht="57.75" thickBot="1">
      <c r="A10" s="92" t="s">
        <v>200</v>
      </c>
      <c r="B10" s="103">
        <f>GETPIVOTDATA("Suma de APR. VIGENTE",CRIS!$A$3,"CM - A","C12")</f>
        <v>3035962836</v>
      </c>
      <c r="C10" s="103">
        <f>GETPIVOTDATA("Suma de COMPROMISO",CRIS!$A$3,"CM - A","C12")</f>
        <v>3031542107.5100002</v>
      </c>
      <c r="D10" s="103">
        <f>GETPIVOTDATA("Suma de OBLIGACION",CRIS!$A$3,"CM - A","C12")</f>
        <v>2229445841.6500001</v>
      </c>
      <c r="E10" s="103">
        <f>+B10-C10</f>
        <v>4420728.4899997711</v>
      </c>
      <c r="F10" s="105">
        <f>+C10/B10</f>
        <v>0.9985438792472755</v>
      </c>
      <c r="G10" s="109">
        <f>+D10/B10</f>
        <v>0.73434556418595109</v>
      </c>
    </row>
    <row r="11" spans="1:12" ht="37.5" customHeight="1" thickBot="1">
      <c r="A11" s="93" t="s">
        <v>120</v>
      </c>
      <c r="B11" s="101">
        <f>+B6+B8</f>
        <v>32309457632</v>
      </c>
      <c r="C11" s="101">
        <f>+C6+C8</f>
        <v>31324076701.099998</v>
      </c>
      <c r="D11" s="101">
        <f>+D6+D8</f>
        <v>30104229467.240002</v>
      </c>
      <c r="E11" s="101">
        <f>+E6+E8</f>
        <v>985380930.89999962</v>
      </c>
      <c r="F11" s="107">
        <f>+C11/B11</f>
        <v>0.96950178049649283</v>
      </c>
      <c r="G11" s="108">
        <f>+D11/B11</f>
        <v>0.93174666718713683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167459097000</v>
      </c>
      <c r="C15" s="110">
        <f>SUM(C16:C20)</f>
        <v>161686307395.05002</v>
      </c>
      <c r="D15" s="110">
        <f>SUM(D16:D20)</f>
        <v>159788120156.60001</v>
      </c>
      <c r="E15" s="110">
        <f>SUM(E16:E20)</f>
        <v>5772789604.9499969</v>
      </c>
      <c r="F15" s="111">
        <f t="shared" ref="F15:F21" si="1">+C15/B15</f>
        <v>0.96552716628497059</v>
      </c>
      <c r="G15" s="112">
        <f t="shared" ref="G15:G21" si="2">+D15/B15</f>
        <v>0.95419193713077288</v>
      </c>
    </row>
    <row r="16" spans="1:12" ht="23.25">
      <c r="A16" s="95" t="s">
        <v>124</v>
      </c>
      <c r="B16" s="113">
        <f>GETPIVOTDATA("Suma de APR. VIGENTE",CRIS!$A$3,"CM - A","A01")</f>
        <v>119793814500</v>
      </c>
      <c r="C16" s="113">
        <f>GETPIVOTDATA("Suma de COMPROMISO",CRIS!$A$3,"CM - A","A01")</f>
        <v>117333758239.74001</v>
      </c>
      <c r="D16" s="113">
        <f>GETPIVOTDATA("Suma de OBLIGACION",CRIS!$A$3,"CM - A","A01")</f>
        <v>117333758239.74001</v>
      </c>
      <c r="E16" s="103">
        <f>+B16-C16</f>
        <v>2460056260.2599945</v>
      </c>
      <c r="F16" s="105">
        <f t="shared" si="1"/>
        <v>0.97946424637592622</v>
      </c>
      <c r="G16" s="109">
        <f t="shared" si="2"/>
        <v>0.97946424637592622</v>
      </c>
    </row>
    <row r="17" spans="1:7" ht="23.25">
      <c r="A17" s="95" t="s">
        <v>125</v>
      </c>
      <c r="B17" s="113">
        <f>GETPIVOTDATA("Suma de APR. VIGENTE",CRIS!$A$3,"CM - A","A02")</f>
        <v>17932167000</v>
      </c>
      <c r="C17" s="113">
        <f>GETPIVOTDATA("Suma de COMPROMISO",CRIS!$A$3,"CM - A","A02")</f>
        <v>16641399036.17</v>
      </c>
      <c r="D17" s="113">
        <f>GETPIVOTDATA("Suma de OBLIGACION",CRIS!$A$3,"CM - A","A02")</f>
        <v>16478688952.17</v>
      </c>
      <c r="E17" s="103">
        <f>+B17-C17</f>
        <v>1290767963.8299999</v>
      </c>
      <c r="F17" s="105">
        <f t="shared" si="1"/>
        <v>0.92801940982202547</v>
      </c>
      <c r="G17" s="109">
        <f t="shared" si="2"/>
        <v>0.91894576668675909</v>
      </c>
    </row>
    <row r="18" spans="1:7" ht="23.25">
      <c r="A18" s="95" t="s">
        <v>126</v>
      </c>
      <c r="B18" s="113">
        <f>GETPIVOTDATA("Suma de APR. VIGENTE",CRIS!$A$3,"CM - A","A03")</f>
        <v>25586616125</v>
      </c>
      <c r="C18" s="113">
        <f>GETPIVOTDATA("Suma de COMPROMISO",CRIS!$A$3,"CM - A","A03")</f>
        <v>23830277016.129997</v>
      </c>
      <c r="D18" s="113">
        <f>GETPIVOTDATA("Suma de OBLIGACION",CRIS!$A$3,"CM - A","A03")</f>
        <v>23107501081.68</v>
      </c>
      <c r="E18" s="103">
        <f>+B18-C18</f>
        <v>1756339108.8700027</v>
      </c>
      <c r="F18" s="105">
        <f t="shared" si="1"/>
        <v>0.93135711653742559</v>
      </c>
      <c r="G18" s="109">
        <f t="shared" si="2"/>
        <v>0.9031089132221074</v>
      </c>
    </row>
    <row r="19" spans="1:7" ht="23.25">
      <c r="A19" s="95" t="s">
        <v>127</v>
      </c>
      <c r="B19" s="113">
        <f>GETPIVOTDATA("Suma de APR. VIGENTE",CRIS!$A$3,"CM - A","A06")</f>
        <v>3388600000</v>
      </c>
      <c r="C19" s="113">
        <f>GETPIVOTDATA("Suma de COMPROMISO",CRIS!$A$3,"CM - A","A06")</f>
        <v>3181694107.0100002</v>
      </c>
      <c r="D19" s="113">
        <f>GETPIVOTDATA("Suma de OBLIGACION",CRIS!$A$3,"CM - A","A06")</f>
        <v>2168992887.0100002</v>
      </c>
      <c r="E19" s="103">
        <f>+B19-C19</f>
        <v>206905892.98999977</v>
      </c>
      <c r="F19" s="105">
        <f t="shared" si="1"/>
        <v>0.93894059700466281</v>
      </c>
      <c r="G19" s="109">
        <f t="shared" si="2"/>
        <v>0.64008525261464921</v>
      </c>
    </row>
    <row r="20" spans="1:7" ht="24" thickBot="1">
      <c r="A20" s="95" t="s">
        <v>128</v>
      </c>
      <c r="B20" s="113">
        <f>GETPIVOTDATA("Suma de APR. VIGENTE",CRIS!$A$3,"CM - A","A08")</f>
        <v>757899375</v>
      </c>
      <c r="C20" s="113">
        <f>GETPIVOTDATA("Suma de COMPROMISO",CRIS!$A$3,"CM - A","A08")</f>
        <v>699178996</v>
      </c>
      <c r="D20" s="113">
        <f>GETPIVOTDATA("Suma de OBLIGACION",CRIS!$A$3,"CM - A","A08")</f>
        <v>699178996</v>
      </c>
      <c r="E20" s="103">
        <f>+B20-C20</f>
        <v>58720379</v>
      </c>
      <c r="F20" s="105">
        <f t="shared" si="1"/>
        <v>0.92252219630079524</v>
      </c>
      <c r="G20" s="109">
        <f t="shared" si="2"/>
        <v>0.92252219630079524</v>
      </c>
    </row>
    <row r="21" spans="1:7" ht="21" thickBot="1">
      <c r="A21" s="96" t="s">
        <v>129</v>
      </c>
      <c r="B21" s="114">
        <f>SUM(B16:B20)</f>
        <v>167459097000</v>
      </c>
      <c r="C21" s="114">
        <f>SUM(C16:C20)</f>
        <v>161686307395.05002</v>
      </c>
      <c r="D21" s="114">
        <f>SUM(D16:D20)</f>
        <v>159788120156.60001</v>
      </c>
      <c r="E21" s="114">
        <f>SUM(E16:E20)</f>
        <v>5772789604.9499969</v>
      </c>
      <c r="F21" s="115">
        <f t="shared" si="1"/>
        <v>0.96552716628497059</v>
      </c>
      <c r="G21" s="115">
        <f t="shared" si="2"/>
        <v>0.95419193713077288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199768554632</v>
      </c>
      <c r="C23" s="114">
        <f>+C21+C11</f>
        <v>193010384096.15002</v>
      </c>
      <c r="D23" s="114">
        <f>+D21+D11</f>
        <v>189892349623.84</v>
      </c>
      <c r="E23" s="114">
        <f>+E21+E11</f>
        <v>6758170535.8499966</v>
      </c>
      <c r="F23" s="115">
        <f>+C23/B23</f>
        <v>0.96616999833482597</v>
      </c>
      <c r="G23" s="115">
        <f>+D23/B23</f>
        <v>0.95056176370523737</v>
      </c>
    </row>
    <row r="30" spans="1:7">
      <c r="F30" s="99"/>
    </row>
    <row r="31" spans="1:7">
      <c r="F31" s="100"/>
    </row>
  </sheetData>
  <sheetProtection algorithmName="SHA-512" hashValue="BHBEkvXVPXZ1SJ+nhdFEeY7DQ7xijyzeA9aNEVXt9JSfbEytT9aKpclvSYx7je/i1pmnCl2ngVHwQ/eHVn19xg==" saltValue="T+PvGwxLhmr3cAR6gp72a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bestFit="1" customWidth="1"/>
    <col min="2" max="2" width="16.6640625" bestFit="1" customWidth="1"/>
    <col min="3" max="3" width="17.21875" bestFit="1" customWidth="1"/>
    <col min="4" max="4" width="15.88671875" bestFit="1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45679</v>
      </c>
      <c r="H3" t="str">
        <f ca="1">TEXT(G3,"MMMM")</f>
        <v>enero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119793814500</v>
      </c>
      <c r="C5" s="83">
        <v>117333758239.74001</v>
      </c>
      <c r="D5" s="83">
        <v>117333758239.74001</v>
      </c>
      <c r="G5" t="s">
        <v>203</v>
      </c>
    </row>
    <row r="6" spans="1:9">
      <c r="A6" s="82" t="s">
        <v>138</v>
      </c>
      <c r="B6" s="83">
        <v>17932167000</v>
      </c>
      <c r="C6" s="83">
        <v>16641399036.17</v>
      </c>
      <c r="D6" s="83">
        <v>16478688952.17</v>
      </c>
      <c r="G6" t="str">
        <f ca="1">CONCATENATE(G4," ",H3," ",G5)</f>
        <v xml:space="preserve">EJECUCIÓN PRESUPUESTAL  enero 2024 ( Millones) </v>
      </c>
    </row>
    <row r="7" spans="1:9">
      <c r="A7" s="82" t="s">
        <v>139</v>
      </c>
      <c r="B7" s="83">
        <v>25586616125</v>
      </c>
      <c r="C7" s="83">
        <v>23830277016.129997</v>
      </c>
      <c r="D7" s="83">
        <v>23107501081.68</v>
      </c>
    </row>
    <row r="8" spans="1:9">
      <c r="A8" s="82" t="s">
        <v>140</v>
      </c>
      <c r="B8" s="83">
        <v>3388600000</v>
      </c>
      <c r="C8" s="83">
        <v>3181694107.0100002</v>
      </c>
      <c r="D8" s="83">
        <v>2168992887.0100002</v>
      </c>
    </row>
    <row r="9" spans="1:9">
      <c r="A9" s="82" t="s">
        <v>143</v>
      </c>
      <c r="B9" s="83">
        <v>757899375</v>
      </c>
      <c r="C9" s="83">
        <v>699178996</v>
      </c>
      <c r="D9" s="83">
        <v>699178996</v>
      </c>
    </row>
    <row r="10" spans="1:9" ht="15.75">
      <c r="A10" s="82" t="s">
        <v>155</v>
      </c>
      <c r="B10" s="83">
        <v>24806150451</v>
      </c>
      <c r="C10" s="83">
        <v>23933116391.91</v>
      </c>
      <c r="D10" s="83">
        <v>23544009891.91</v>
      </c>
      <c r="G10" s="14"/>
    </row>
    <row r="11" spans="1:9">
      <c r="A11" s="82" t="s">
        <v>156</v>
      </c>
      <c r="B11" s="83">
        <v>3035962836</v>
      </c>
      <c r="C11" s="83">
        <v>3031542107.5100002</v>
      </c>
      <c r="D11" s="83">
        <v>2229445841.6500001</v>
      </c>
    </row>
    <row r="12" spans="1:9">
      <c r="A12" s="82" t="s">
        <v>154</v>
      </c>
      <c r="B12" s="83">
        <v>4467344345</v>
      </c>
      <c r="C12" s="83">
        <v>4359418201.6800003</v>
      </c>
      <c r="D12" s="83">
        <v>4330773733.6800003</v>
      </c>
    </row>
    <row r="13" spans="1:9">
      <c r="A13" s="82" t="s">
        <v>148</v>
      </c>
      <c r="B13" s="83">
        <v>199768554632</v>
      </c>
      <c r="C13" s="83">
        <v>193010384096.15002</v>
      </c>
      <c r="D13" s="83">
        <v>189892349623.84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9" activePane="bottomLeft" state="frozen"/>
      <selection activeCell="B1" sqref="B1"/>
      <selection pane="bottomLeft" activeCell="H34" sqref="H34"/>
    </sheetView>
  </sheetViews>
  <sheetFormatPr baseColWidth="10" defaultRowHeight="15" zeroHeight="1"/>
  <cols>
    <col min="1" max="1" width="9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4.33203125" style="20" customWidth="1"/>
    <col min="20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63929935000</v>
      </c>
      <c r="S2" s="18">
        <v>8343068291</v>
      </c>
      <c r="T2" s="18">
        <v>468125062</v>
      </c>
      <c r="U2" s="19">
        <v>71804878229</v>
      </c>
      <c r="V2" s="18">
        <v>0</v>
      </c>
      <c r="W2" s="18">
        <v>71804878229</v>
      </c>
      <c r="X2" s="18">
        <v>0</v>
      </c>
      <c r="Y2" s="18">
        <v>70454623400.740005</v>
      </c>
      <c r="Z2" s="18">
        <v>70454623400.740005</v>
      </c>
      <c r="AA2" s="18">
        <v>70445163890.740005</v>
      </c>
      <c r="AB2" s="18">
        <v>70445163890.740005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24493371000</v>
      </c>
      <c r="S3" s="18">
        <v>2667085081</v>
      </c>
      <c r="T3" s="18">
        <v>0</v>
      </c>
      <c r="U3" s="19">
        <v>27160456081</v>
      </c>
      <c r="V3" s="18">
        <v>0</v>
      </c>
      <c r="W3" s="18">
        <v>26998740519</v>
      </c>
      <c r="X3" s="18">
        <v>161715562</v>
      </c>
      <c r="Y3" s="18">
        <v>26755556423</v>
      </c>
      <c r="Z3" s="18">
        <v>26755556423</v>
      </c>
      <c r="AA3" s="18">
        <v>26755556423</v>
      </c>
      <c r="AB3" s="18">
        <v>26755556423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20014234000</v>
      </c>
      <c r="S4" s="18">
        <v>410385190</v>
      </c>
      <c r="T4" s="18">
        <v>0</v>
      </c>
      <c r="U4" s="19">
        <v>20424619190</v>
      </c>
      <c r="V4" s="18">
        <v>0</v>
      </c>
      <c r="W4" s="18">
        <v>20424619190</v>
      </c>
      <c r="X4" s="18">
        <v>0</v>
      </c>
      <c r="Y4" s="18">
        <v>19969898927</v>
      </c>
      <c r="Z4" s="18">
        <v>19969898927</v>
      </c>
      <c r="AA4" s="18">
        <v>19969898927</v>
      </c>
      <c r="AB4" s="18">
        <v>19969898927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11381366000</v>
      </c>
      <c r="S5" s="18">
        <v>0</v>
      </c>
      <c r="T5" s="18">
        <v>11258823000</v>
      </c>
      <c r="U5" s="19">
        <v>122543000</v>
      </c>
      <c r="V5" s="18">
        <v>122543000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145533000</v>
      </c>
      <c r="S6" s="18">
        <v>0</v>
      </c>
      <c r="T6" s="18">
        <v>0</v>
      </c>
      <c r="U6" s="19">
        <v>145533000</v>
      </c>
      <c r="V6" s="18">
        <v>0</v>
      </c>
      <c r="W6" s="18">
        <v>145532990</v>
      </c>
      <c r="X6" s="18">
        <v>10</v>
      </c>
      <c r="Y6" s="18">
        <v>98673933</v>
      </c>
      <c r="Z6" s="18">
        <v>98673933</v>
      </c>
      <c r="AA6" s="18">
        <v>98673933</v>
      </c>
      <c r="AB6" s="18">
        <v>98673933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60098000</v>
      </c>
      <c r="S7" s="18">
        <v>0</v>
      </c>
      <c r="T7" s="18">
        <v>0</v>
      </c>
      <c r="U7" s="19">
        <v>60098000</v>
      </c>
      <c r="V7" s="18">
        <v>0</v>
      </c>
      <c r="W7" s="18">
        <v>60098000</v>
      </c>
      <c r="X7" s="18">
        <v>0</v>
      </c>
      <c r="Y7" s="18">
        <v>31864713</v>
      </c>
      <c r="Z7" s="18">
        <v>31864713</v>
      </c>
      <c r="AA7" s="18">
        <v>31864713</v>
      </c>
      <c r="AB7" s="18">
        <v>31864713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75687000</v>
      </c>
      <c r="S8" s="18">
        <v>0</v>
      </c>
      <c r="T8" s="18">
        <v>0</v>
      </c>
      <c r="U8" s="19">
        <v>75687000</v>
      </c>
      <c r="V8" s="18">
        <v>0</v>
      </c>
      <c r="W8" s="18">
        <v>75687000</v>
      </c>
      <c r="X8" s="18">
        <v>0</v>
      </c>
      <c r="Y8" s="18">
        <v>23140843</v>
      </c>
      <c r="Z8" s="18">
        <v>23140843</v>
      </c>
      <c r="AA8" s="18">
        <v>23140843</v>
      </c>
      <c r="AB8" s="18">
        <v>23140843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15932167000</v>
      </c>
      <c r="S9" s="18">
        <v>2000000000</v>
      </c>
      <c r="T9" s="18">
        <v>0</v>
      </c>
      <c r="U9" s="18">
        <v>17932167000</v>
      </c>
      <c r="V9" s="18">
        <v>0</v>
      </c>
      <c r="W9" s="18">
        <v>17885920858.790001</v>
      </c>
      <c r="X9" s="18">
        <v>46246141.210000001</v>
      </c>
      <c r="Y9" s="18">
        <v>16641399036.17</v>
      </c>
      <c r="Z9" s="18">
        <v>16478688952.17</v>
      </c>
      <c r="AA9" s="18">
        <v>15185780199.18</v>
      </c>
      <c r="AB9" s="18">
        <v>15185780199.18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23.75">
      <c r="A10" s="15" t="s">
        <v>145</v>
      </c>
      <c r="B10" s="16" t="s">
        <v>33</v>
      </c>
      <c r="C10" s="15" t="s">
        <v>34</v>
      </c>
      <c r="D10" s="17" t="s">
        <v>205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206</v>
      </c>
      <c r="J10" s="16"/>
      <c r="K10" s="16"/>
      <c r="L10" s="16"/>
      <c r="M10" s="16"/>
      <c r="N10" s="16" t="s">
        <v>207</v>
      </c>
      <c r="O10" s="16" t="s">
        <v>78</v>
      </c>
      <c r="P10" s="16" t="s">
        <v>40</v>
      </c>
      <c r="Q10" s="15" t="s">
        <v>208</v>
      </c>
      <c r="R10" s="18">
        <v>0</v>
      </c>
      <c r="S10" s="18">
        <v>1259000000</v>
      </c>
      <c r="T10" s="18">
        <v>0</v>
      </c>
      <c r="U10" s="18">
        <v>1259000000</v>
      </c>
      <c r="V10" s="18">
        <v>0</v>
      </c>
      <c r="W10" s="18">
        <v>1259000000</v>
      </c>
      <c r="X10" s="18">
        <v>0</v>
      </c>
      <c r="Y10" s="18">
        <v>1236285543.25</v>
      </c>
      <c r="Z10" s="18">
        <v>555513312.79999995</v>
      </c>
      <c r="AA10" s="18">
        <v>555513312.79999995</v>
      </c>
      <c r="AB10" s="18">
        <v>555513312.79999995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6" t="s">
        <v>36</v>
      </c>
      <c r="F11" s="16" t="s">
        <v>46</v>
      </c>
      <c r="G11" s="16" t="s">
        <v>46</v>
      </c>
      <c r="H11" s="16" t="s">
        <v>37</v>
      </c>
      <c r="I11" s="16" t="s">
        <v>57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58</v>
      </c>
      <c r="R11" s="18">
        <v>2000000000</v>
      </c>
      <c r="S11" s="18">
        <v>0</v>
      </c>
      <c r="T11" s="18">
        <v>2000000000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60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61</v>
      </c>
      <c r="R12" s="18">
        <v>423100000</v>
      </c>
      <c r="S12" s="18">
        <v>0</v>
      </c>
      <c r="T12" s="18">
        <v>0</v>
      </c>
      <c r="U12" s="18">
        <v>423100000</v>
      </c>
      <c r="V12" s="18">
        <v>0</v>
      </c>
      <c r="W12" s="18">
        <v>77225816.489999995</v>
      </c>
      <c r="X12" s="18">
        <v>345874183.50999999</v>
      </c>
      <c r="Y12" s="18">
        <v>77225816.489999995</v>
      </c>
      <c r="Z12" s="18">
        <v>77225816.489999995</v>
      </c>
      <c r="AA12" s="18">
        <v>69357099.109999999</v>
      </c>
      <c r="AB12" s="18">
        <v>69357099.109999999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63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64</v>
      </c>
      <c r="R13" s="18">
        <v>470922000</v>
      </c>
      <c r="S13" s="18">
        <v>0</v>
      </c>
      <c r="T13" s="18">
        <v>470922000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67.5">
      <c r="A14" s="15" t="s">
        <v>145</v>
      </c>
      <c r="B14" s="16" t="s">
        <v>33</v>
      </c>
      <c r="C14" s="15" t="s">
        <v>34</v>
      </c>
      <c r="D14" s="17" t="s">
        <v>65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66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67</v>
      </c>
      <c r="R14" s="18">
        <v>330386000</v>
      </c>
      <c r="S14" s="18">
        <v>0</v>
      </c>
      <c r="T14" s="18">
        <v>0</v>
      </c>
      <c r="U14" s="18">
        <v>330386000</v>
      </c>
      <c r="V14" s="18">
        <v>0</v>
      </c>
      <c r="W14" s="18">
        <v>330386000</v>
      </c>
      <c r="X14" s="18">
        <v>0</v>
      </c>
      <c r="Y14" s="18">
        <v>316857819</v>
      </c>
      <c r="Z14" s="18">
        <v>316857819</v>
      </c>
      <c r="AA14" s="18">
        <v>316857819</v>
      </c>
      <c r="AB14" s="18">
        <v>316857819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69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70</v>
      </c>
      <c r="R15" s="18">
        <v>22331000</v>
      </c>
      <c r="S15" s="18">
        <v>39081181</v>
      </c>
      <c r="T15" s="18">
        <v>0</v>
      </c>
      <c r="U15" s="18">
        <v>61412181</v>
      </c>
      <c r="V15" s="18">
        <v>0</v>
      </c>
      <c r="W15" s="18">
        <v>61412181</v>
      </c>
      <c r="X15" s="18">
        <v>0</v>
      </c>
      <c r="Y15" s="18">
        <v>39000000</v>
      </c>
      <c r="Z15" s="18">
        <v>39000000</v>
      </c>
      <c r="AA15" s="18">
        <v>39000000</v>
      </c>
      <c r="AB15" s="18">
        <v>39000000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72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73</v>
      </c>
      <c r="R16" s="18">
        <v>3044177000</v>
      </c>
      <c r="S16" s="18">
        <v>0</v>
      </c>
      <c r="T16" s="18">
        <v>37300000</v>
      </c>
      <c r="U16" s="18">
        <v>3006877000</v>
      </c>
      <c r="V16" s="18">
        <v>0</v>
      </c>
      <c r="W16" s="18">
        <v>2847536169</v>
      </c>
      <c r="X16" s="18">
        <v>159340831</v>
      </c>
      <c r="Y16" s="18">
        <v>2847536169</v>
      </c>
      <c r="Z16" s="18">
        <v>2847536169</v>
      </c>
      <c r="AA16" s="18">
        <v>2847536169</v>
      </c>
      <c r="AB16" s="18">
        <v>2847536169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6" t="s">
        <v>36</v>
      </c>
      <c r="F17" s="16" t="s">
        <v>46</v>
      </c>
      <c r="G17" s="16" t="s">
        <v>49</v>
      </c>
      <c r="H17" s="16" t="s">
        <v>43</v>
      </c>
      <c r="I17" s="16" t="s">
        <v>75</v>
      </c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76</v>
      </c>
      <c r="R17" s="18">
        <v>13650000000</v>
      </c>
      <c r="S17" s="18">
        <v>0</v>
      </c>
      <c r="T17" s="18">
        <v>0</v>
      </c>
      <c r="U17" s="18">
        <v>13650000000</v>
      </c>
      <c r="V17" s="18">
        <v>0</v>
      </c>
      <c r="W17" s="18">
        <v>13410094311.290001</v>
      </c>
      <c r="X17" s="18">
        <v>239905688.71000001</v>
      </c>
      <c r="Y17" s="18">
        <v>13410094311.290001</v>
      </c>
      <c r="Z17" s="18">
        <v>13410094311.290001</v>
      </c>
      <c r="AA17" s="18">
        <v>13410094311.290001</v>
      </c>
      <c r="AB17" s="18">
        <v>13410094311.290001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6" t="s">
        <v>36</v>
      </c>
      <c r="F18" s="16" t="s">
        <v>46</v>
      </c>
      <c r="G18" s="16" t="s">
        <v>78</v>
      </c>
      <c r="H18" s="16"/>
      <c r="I18" s="16"/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79</v>
      </c>
      <c r="R18" s="18">
        <v>3000000000</v>
      </c>
      <c r="S18" s="18">
        <v>0</v>
      </c>
      <c r="T18" s="18">
        <v>0</v>
      </c>
      <c r="U18" s="18">
        <v>3000000000</v>
      </c>
      <c r="V18" s="18">
        <v>0</v>
      </c>
      <c r="W18" s="18">
        <v>2246420640</v>
      </c>
      <c r="X18" s="18">
        <v>753579360</v>
      </c>
      <c r="Y18" s="18">
        <v>2050424413.0999999</v>
      </c>
      <c r="Z18" s="18">
        <v>2050424413.0999999</v>
      </c>
      <c r="AA18" s="18">
        <v>2050424413.0999999</v>
      </c>
      <c r="AB18" s="18">
        <v>2050424413.0999999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6" t="s">
        <v>36</v>
      </c>
      <c r="F19" s="16" t="s">
        <v>46</v>
      </c>
      <c r="G19" s="16" t="s">
        <v>81</v>
      </c>
      <c r="H19" s="16" t="s">
        <v>46</v>
      </c>
      <c r="I19" s="16" t="s">
        <v>82</v>
      </c>
      <c r="J19" s="16"/>
      <c r="K19" s="16"/>
      <c r="L19" s="16"/>
      <c r="M19" s="16"/>
      <c r="N19" s="16" t="s">
        <v>38</v>
      </c>
      <c r="O19" s="16" t="s">
        <v>39</v>
      </c>
      <c r="P19" s="16" t="s">
        <v>40</v>
      </c>
      <c r="Q19" s="15" t="s">
        <v>83</v>
      </c>
      <c r="R19" s="18">
        <v>3171900000</v>
      </c>
      <c r="S19" s="18">
        <v>683940944</v>
      </c>
      <c r="T19" s="18">
        <v>0</v>
      </c>
      <c r="U19" s="18">
        <v>3855840944</v>
      </c>
      <c r="V19" s="18">
        <v>0</v>
      </c>
      <c r="W19" s="18">
        <v>3855840944</v>
      </c>
      <c r="X19" s="18">
        <v>0</v>
      </c>
      <c r="Y19" s="18">
        <v>3852852944</v>
      </c>
      <c r="Z19" s="18">
        <v>3810849240</v>
      </c>
      <c r="AA19" s="18">
        <v>3527183240</v>
      </c>
      <c r="AB19" s="18">
        <v>3527183240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6" t="s">
        <v>36</v>
      </c>
      <c r="F20" s="16" t="s">
        <v>85</v>
      </c>
      <c r="G20" s="16" t="s">
        <v>37</v>
      </c>
      <c r="H20" s="16" t="s">
        <v>49</v>
      </c>
      <c r="I20" s="16" t="s">
        <v>86</v>
      </c>
      <c r="J20" s="16"/>
      <c r="K20" s="16"/>
      <c r="L20" s="16"/>
      <c r="M20" s="16"/>
      <c r="N20" s="16" t="s">
        <v>38</v>
      </c>
      <c r="O20" s="16" t="s">
        <v>87</v>
      </c>
      <c r="P20" s="16" t="s">
        <v>40</v>
      </c>
      <c r="Q20" s="15" t="s">
        <v>88</v>
      </c>
      <c r="R20" s="18">
        <v>3388600000</v>
      </c>
      <c r="S20" s="18">
        <v>0</v>
      </c>
      <c r="T20" s="18">
        <v>0</v>
      </c>
      <c r="U20" s="18">
        <v>3388600000</v>
      </c>
      <c r="V20" s="18">
        <v>0</v>
      </c>
      <c r="W20" s="18">
        <v>3388600000</v>
      </c>
      <c r="X20" s="18">
        <v>0</v>
      </c>
      <c r="Y20" s="18">
        <v>3181694107.0100002</v>
      </c>
      <c r="Z20" s="18">
        <v>2168992887.0100002</v>
      </c>
      <c r="AA20" s="18">
        <v>2168992887.0100002</v>
      </c>
      <c r="AB20" s="18">
        <v>2168992887.0100002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6" t="s">
        <v>36</v>
      </c>
      <c r="F21" s="16" t="s">
        <v>90</v>
      </c>
      <c r="G21" s="16" t="s">
        <v>37</v>
      </c>
      <c r="H21" s="16"/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91</v>
      </c>
      <c r="R21" s="18">
        <v>238090000</v>
      </c>
      <c r="S21" s="18">
        <v>88609375</v>
      </c>
      <c r="T21" s="18">
        <v>0</v>
      </c>
      <c r="U21" s="18">
        <v>326699375</v>
      </c>
      <c r="V21" s="18">
        <v>0</v>
      </c>
      <c r="W21" s="18">
        <v>326095728</v>
      </c>
      <c r="X21" s="18">
        <v>603647</v>
      </c>
      <c r="Y21" s="18">
        <v>326034692</v>
      </c>
      <c r="Z21" s="18">
        <v>326034692</v>
      </c>
      <c r="AA21" s="18">
        <v>320132792</v>
      </c>
      <c r="AB21" s="18">
        <v>320132792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6" t="s">
        <v>36</v>
      </c>
      <c r="F22" s="16" t="s">
        <v>90</v>
      </c>
      <c r="G22" s="16" t="s">
        <v>49</v>
      </c>
      <c r="H22" s="16" t="s">
        <v>37</v>
      </c>
      <c r="I22" s="16"/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93</v>
      </c>
      <c r="R22" s="18">
        <v>428200000</v>
      </c>
      <c r="S22" s="18">
        <v>0</v>
      </c>
      <c r="T22" s="18">
        <v>0</v>
      </c>
      <c r="U22" s="18">
        <v>428200000</v>
      </c>
      <c r="V22" s="18">
        <v>0</v>
      </c>
      <c r="W22" s="18">
        <v>372184204</v>
      </c>
      <c r="X22" s="18">
        <v>56015796</v>
      </c>
      <c r="Y22" s="18">
        <v>372184204</v>
      </c>
      <c r="Z22" s="18">
        <v>372184204</v>
      </c>
      <c r="AA22" s="18">
        <v>372184204</v>
      </c>
      <c r="AB22" s="18">
        <v>372184204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209</v>
      </c>
      <c r="E23" s="16" t="s">
        <v>36</v>
      </c>
      <c r="F23" s="16" t="s">
        <v>90</v>
      </c>
      <c r="G23" s="16" t="s">
        <v>210</v>
      </c>
      <c r="H23" s="16"/>
      <c r="I23" s="16"/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211</v>
      </c>
      <c r="R23" s="18">
        <v>0</v>
      </c>
      <c r="S23" s="18">
        <v>3000000</v>
      </c>
      <c r="T23" s="18">
        <v>0</v>
      </c>
      <c r="U23" s="18">
        <v>3000000</v>
      </c>
      <c r="V23" s="18">
        <v>0</v>
      </c>
      <c r="W23" s="18">
        <v>1000000</v>
      </c>
      <c r="X23" s="18">
        <v>2000000</v>
      </c>
      <c r="Y23" s="18">
        <v>960100</v>
      </c>
      <c r="Z23" s="18">
        <v>960100</v>
      </c>
      <c r="AA23" s="18">
        <v>960100</v>
      </c>
      <c r="AB23" s="18">
        <v>960100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35">
      <c r="A24" s="15" t="s">
        <v>145</v>
      </c>
      <c r="B24" s="16" t="s">
        <v>33</v>
      </c>
      <c r="C24" s="15" t="s">
        <v>34</v>
      </c>
      <c r="D24" s="17" t="s">
        <v>94</v>
      </c>
      <c r="E24" s="16" t="s">
        <v>95</v>
      </c>
      <c r="F24" s="16" t="s">
        <v>96</v>
      </c>
      <c r="G24" s="16" t="s">
        <v>97</v>
      </c>
      <c r="H24" s="16" t="s">
        <v>98</v>
      </c>
      <c r="I24" s="16" t="s">
        <v>99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100</v>
      </c>
      <c r="R24" s="18">
        <v>4467344345</v>
      </c>
      <c r="S24" s="18">
        <v>0</v>
      </c>
      <c r="T24" s="18">
        <v>0</v>
      </c>
      <c r="U24" s="18">
        <v>4467344345</v>
      </c>
      <c r="V24" s="18">
        <v>0</v>
      </c>
      <c r="W24" s="18">
        <v>4466722737.0100002</v>
      </c>
      <c r="X24" s="18">
        <v>621607.99</v>
      </c>
      <c r="Y24" s="18">
        <v>4359418201.6800003</v>
      </c>
      <c r="Z24" s="18">
        <v>4330773733.6800003</v>
      </c>
      <c r="AA24" s="18">
        <v>4302011075.6800003</v>
      </c>
      <c r="AB24" s="18">
        <v>4302011075.6800003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90">
      <c r="A25" s="15" t="s">
        <v>146</v>
      </c>
      <c r="B25" s="16" t="s">
        <v>33</v>
      </c>
      <c r="C25" s="23" t="s">
        <v>34</v>
      </c>
      <c r="D25" s="24" t="s">
        <v>101</v>
      </c>
      <c r="E25" s="22" t="s">
        <v>95</v>
      </c>
      <c r="F25" s="22" t="s">
        <v>102</v>
      </c>
      <c r="G25" s="22" t="s">
        <v>97</v>
      </c>
      <c r="H25" s="22" t="s">
        <v>81</v>
      </c>
      <c r="I25" s="22" t="s">
        <v>103</v>
      </c>
      <c r="J25" s="22"/>
      <c r="K25" s="22"/>
      <c r="L25" s="22"/>
      <c r="M25" s="22"/>
      <c r="N25" s="22" t="s">
        <v>38</v>
      </c>
      <c r="O25" s="22" t="s">
        <v>39</v>
      </c>
      <c r="P25" s="22" t="s">
        <v>40</v>
      </c>
      <c r="Q25" s="23" t="s">
        <v>104</v>
      </c>
      <c r="R25" s="25">
        <v>24806150451</v>
      </c>
      <c r="S25" s="25">
        <v>0</v>
      </c>
      <c r="T25" s="25">
        <v>0</v>
      </c>
      <c r="U25" s="25">
        <v>24806150451</v>
      </c>
      <c r="V25" s="25">
        <v>0</v>
      </c>
      <c r="W25" s="25">
        <v>24783764800.299999</v>
      </c>
      <c r="X25" s="25">
        <v>22385650.699999999</v>
      </c>
      <c r="Y25" s="25">
        <v>23933116391.91</v>
      </c>
      <c r="Z25" s="25">
        <v>23544009891.91</v>
      </c>
      <c r="AA25" s="25">
        <v>11841061996.09</v>
      </c>
      <c r="AB25" s="25">
        <v>11841061996.09</v>
      </c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90">
      <c r="A26" s="15" t="s">
        <v>146</v>
      </c>
      <c r="B26" s="22" t="s">
        <v>33</v>
      </c>
      <c r="C26" s="23" t="s">
        <v>34</v>
      </c>
      <c r="D26" s="24" t="s">
        <v>105</v>
      </c>
      <c r="E26" s="22" t="s">
        <v>95</v>
      </c>
      <c r="F26" s="22" t="s">
        <v>102</v>
      </c>
      <c r="G26" s="22" t="s">
        <v>97</v>
      </c>
      <c r="H26" s="22" t="s">
        <v>106</v>
      </c>
      <c r="I26" s="22" t="s">
        <v>103</v>
      </c>
      <c r="J26" s="22"/>
      <c r="K26" s="22"/>
      <c r="L26" s="22"/>
      <c r="M26" s="22"/>
      <c r="N26" s="22" t="s">
        <v>38</v>
      </c>
      <c r="O26" s="22" t="s">
        <v>39</v>
      </c>
      <c r="P26" s="22" t="s">
        <v>40</v>
      </c>
      <c r="Q26" s="23" t="s">
        <v>104</v>
      </c>
      <c r="R26" s="25">
        <v>3035962836</v>
      </c>
      <c r="S26" s="25">
        <v>0</v>
      </c>
      <c r="T26" s="25">
        <v>0</v>
      </c>
      <c r="U26" s="25">
        <v>3035962836</v>
      </c>
      <c r="V26" s="25">
        <v>0</v>
      </c>
      <c r="W26" s="25">
        <v>3031708793.6599998</v>
      </c>
      <c r="X26" s="25">
        <v>4254042.34</v>
      </c>
      <c r="Y26" s="25">
        <v>3031542107.5100002</v>
      </c>
      <c r="Z26" s="25">
        <v>2229445841.6500001</v>
      </c>
      <c r="AA26" s="25">
        <v>341542277.04000002</v>
      </c>
      <c r="AB26" s="25">
        <v>341542277.04000002</v>
      </c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17.21875" bestFit="1" customWidth="1"/>
    <col min="3" max="3" width="10.6640625" bestFit="1" customWidth="1"/>
    <col min="4" max="4" width="11.6640625" bestFit="1" customWidth="1"/>
    <col min="5" max="5" width="10.33203125" bestFit="1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bestFit="1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161686307395.05005</v>
      </c>
      <c r="C4" t="s">
        <v>145</v>
      </c>
      <c r="D4" s="13">
        <f t="shared" ref="D4:D15" si="0">B4</f>
        <v>161686307395.05005</v>
      </c>
      <c r="F4" s="78" t="s">
        <v>145</v>
      </c>
      <c r="G4" s="13">
        <v>159788120156.60004</v>
      </c>
      <c r="H4" t="s">
        <v>145</v>
      </c>
      <c r="I4" s="13">
        <f t="shared" ref="I4:I15" si="1">G4</f>
        <v>159788120156.60004</v>
      </c>
      <c r="J4" s="13"/>
      <c r="K4" s="78" t="s">
        <v>145</v>
      </c>
      <c r="L4" s="13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2">
        <f t="shared" ref="P4:P15" si="4">+D4/N4</f>
        <v>0.96552716628497082</v>
      </c>
      <c r="Q4" s="72">
        <f t="shared" ref="Q4:Q15" si="5">+I4/N4</f>
        <v>0.9541919371307731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 s="130">
        <v>161686307395.05005</v>
      </c>
      <c r="F17" s="78" t="s">
        <v>148</v>
      </c>
      <c r="G17" s="130">
        <v>159788120156.60004</v>
      </c>
      <c r="K17" s="78" t="s">
        <v>148</v>
      </c>
      <c r="L17" s="130">
        <v>167459097000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4359418201.6800003</v>
      </c>
      <c r="C23" t="str">
        <f t="shared" ref="C23:C34" si="6">A23</f>
        <v>Enero</v>
      </c>
      <c r="D23" s="13">
        <f t="shared" ref="D23:D34" si="7">B23</f>
        <v>4359418201.6800003</v>
      </c>
      <c r="F23" s="78" t="s">
        <v>145</v>
      </c>
      <c r="G23" s="13">
        <v>4330773733.6800003</v>
      </c>
      <c r="H23" t="str">
        <f t="shared" ref="H23:H34" si="8">F23</f>
        <v>Enero</v>
      </c>
      <c r="I23" s="13">
        <f t="shared" ref="I23:I34" si="9">G23</f>
        <v>4330773733.6800003</v>
      </c>
      <c r="K23" s="78" t="s">
        <v>145</v>
      </c>
      <c r="L23" s="13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2">
        <f t="shared" ref="P23:P34" si="12">+D23/N23</f>
        <v>0.97584109596548241</v>
      </c>
      <c r="Q23" s="72">
        <f t="shared" ref="Q23:Q34" si="13">+I23/N23</f>
        <v>0.96942912818599847</v>
      </c>
    </row>
    <row r="24" spans="1:18">
      <c r="A24" s="78" t="s">
        <v>146</v>
      </c>
      <c r="B24" s="13">
        <v>26964658499.419998</v>
      </c>
      <c r="C24" t="str">
        <f t="shared" si="6"/>
        <v>Febrero</v>
      </c>
      <c r="D24" s="13">
        <f t="shared" si="7"/>
        <v>26964658499.419998</v>
      </c>
      <c r="F24" s="78" t="s">
        <v>146</v>
      </c>
      <c r="G24" s="13">
        <v>25773455733.560001</v>
      </c>
      <c r="H24" t="str">
        <f t="shared" si="8"/>
        <v>Febrero</v>
      </c>
      <c r="I24" s="13">
        <f t="shared" si="9"/>
        <v>25773455733.560001</v>
      </c>
      <c r="K24" s="78" t="s">
        <v>146</v>
      </c>
      <c r="L24" s="13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2">
        <f t="shared" si="12"/>
        <v>0.96848461973647304</v>
      </c>
      <c r="Q24" s="72">
        <f t="shared" si="13"/>
        <v>0.92570041174259954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 s="130">
        <v>31324076701.099998</v>
      </c>
      <c r="F36" s="78" t="s">
        <v>148</v>
      </c>
      <c r="G36" s="130">
        <v>30104229467.240002</v>
      </c>
      <c r="K36" s="78" t="s">
        <v>148</v>
      </c>
      <c r="L36" s="130">
        <v>32309457632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171926441345</v>
      </c>
      <c r="D42" s="13">
        <v>166045725596.73004</v>
      </c>
      <c r="E42" s="13">
        <v>164118893890.28003</v>
      </c>
      <c r="F42" t="str">
        <f t="shared" ref="F42:F53" si="14">B42</f>
        <v>Enero</v>
      </c>
      <c r="G42" s="72">
        <f>+GETPIVOTDATA("SCOMPROMISO",$B$41,"Mes","Enero")/GETPIVOTDATA(" APR. VIGENTE",$B$41,"Mes","Enero")</f>
        <v>0.96579516389530051</v>
      </c>
      <c r="H42" s="72">
        <f>+GETPIVOTDATA("SOBLIGACION",$B$41,"Mes","Enero")/GETPIVOTDATA(" APR. VIGENTE",$B$41,"Mes","Enero")</f>
        <v>0.95458786098496173</v>
      </c>
    </row>
    <row r="43" spans="1:18">
      <c r="B43" t="s">
        <v>146</v>
      </c>
      <c r="C43" s="13">
        <v>27842113287</v>
      </c>
      <c r="D43" s="13">
        <v>26964658499.419998</v>
      </c>
      <c r="E43" s="13">
        <v>25773455733.560001</v>
      </c>
      <c r="F43" t="str">
        <f t="shared" si="14"/>
        <v>Febrero</v>
      </c>
      <c r="G43" s="72">
        <f>+GETPIVOTDATA("SCOMPROMISO",$B$41,"Mes","Febrero")/GETPIVOTDATA(" APR. VIGENTE",$B$41,"Mes","Febrero")</f>
        <v>0.96848461973647304</v>
      </c>
      <c r="H43" s="72">
        <f>+GETPIVOTDATA("SOBLIGACION",$B$41,"Mes","Febrero")/GETPIVOTDATA(" APR. VIGENTE",$B$41,"Mes","Febrero")</f>
        <v>0.92570041174259954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 s="130">
        <v>199768554632</v>
      </c>
      <c r="D55" s="130">
        <v>193010384096.15002</v>
      </c>
      <c r="E55" s="130">
        <v>189892349623.84003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0.96552716628497082</v>
      </c>
      <c r="L61" s="35">
        <f>'BASE OBL-COM'!Q4</f>
        <v>0.9541919371307731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0.97584109596548241</v>
      </c>
      <c r="L76" s="76">
        <f>'BASE OBL-COM'!Q23</f>
        <v>0.96942912818599847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>
        <f>'BASE OBL-COM'!P24</f>
        <v>0.96848461973647304</v>
      </c>
      <c r="L77" s="76">
        <f>'BASE OBL-COM'!Q24</f>
        <v>0.92570041174259954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0.96950178049649283</v>
      </c>
      <c r="F88" s="64">
        <f>+Ejecucion!D11/Ejecucion!B11</f>
        <v>0.93174666718713683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0.96579516389530051</v>
      </c>
      <c r="L92" s="76">
        <f>'BASE OBL-COM'!H42</f>
        <v>0.95458786098496173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>
        <f>'BASE OBL-COM'!G43</f>
        <v>0.96848461973647304</v>
      </c>
      <c r="L93" s="76">
        <f>'BASE OBL-COM'!H43</f>
        <v>0.92570041174259954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2025-01-22T17:48:36Z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