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2. Febrero/"/>
    </mc:Choice>
  </mc:AlternateContent>
  <xr:revisionPtr revIDLastSave="0" documentId="14_{EEA22C24-AA20-476A-B6A8-ABF5BDA10BE1}" xr6:coauthVersionLast="47" xr6:coauthVersionMax="47" xr10:uidLastSave="{00000000-0000-0000-0000-000000000000}"/>
  <workbookProtection workbookAlgorithmName="SHA-512" workbookHashValue="ss5DaadvcG5gOHkKlMSoeK91nRZKy8c8U7n91oo5wDulazuvNL7pDsYqYs9QvoBL9v4dI+7pFPQeDP7n4aBfRg==" workbookSaltValue="eapbqhpOchqTGwdFKfiyPw==" workbookSpinCount="100000" lockStructure="1"/>
  <bookViews>
    <workbookView xWindow="2868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Ejecucion!$A$1:$G$23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203" r:id="rId8"/>
    <pivotCache cacheId="204" r:id="rId9"/>
    <pivotCache cacheId="205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D16" i="2"/>
  <c r="C16" i="2"/>
  <c r="D17" i="2"/>
  <c r="C17" i="2"/>
  <c r="D18" i="2"/>
  <c r="C18" i="2"/>
  <c r="D19" i="2"/>
  <c r="C19" i="2"/>
  <c r="B19" i="2"/>
  <c r="B18" i="2"/>
  <c r="B17" i="2"/>
  <c r="D10" i="2"/>
  <c r="D9" i="2"/>
  <c r="D7" i="2"/>
  <c r="C10" i="2"/>
  <c r="C9" i="2"/>
  <c r="C7" i="2"/>
  <c r="B7" i="2"/>
  <c r="B9" i="2"/>
  <c r="B10" i="2"/>
  <c r="B16" i="2"/>
  <c r="G17" i="2" l="1"/>
  <c r="F17" i="2"/>
  <c r="E17" i="2"/>
  <c r="B8" i="2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4" i="32"/>
  <c r="G46" i="32"/>
  <c r="G47" i="32"/>
  <c r="H53" i="32"/>
  <c r="G44" i="32"/>
  <c r="H42" i="32"/>
  <c r="G51" i="32"/>
  <c r="H49" i="32"/>
  <c r="H43" i="32"/>
  <c r="G45" i="32"/>
  <c r="G43" i="32"/>
  <c r="H52" i="32"/>
  <c r="H47" i="32"/>
  <c r="H50" i="32"/>
  <c r="G50" i="32"/>
  <c r="G48" i="32"/>
  <c r="G52" i="32"/>
  <c r="H51" i="32"/>
  <c r="H45" i="32"/>
  <c r="G49" i="32"/>
  <c r="G42" i="32"/>
  <c r="G53" i="32"/>
  <c r="H48" i="32"/>
  <c r="H46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H101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5" i="11"/>
  <c r="H100" i="11"/>
  <c r="E70" i="11"/>
  <c r="E84" i="11"/>
  <c r="H99" i="11"/>
  <c r="E83" i="11"/>
  <c r="H98" i="11"/>
  <c r="E82" i="11"/>
  <c r="H97" i="11"/>
  <c r="E71" i="11"/>
  <c r="E81" i="11"/>
  <c r="E80" i="11"/>
  <c r="I103" i="11"/>
  <c r="E79" i="11"/>
  <c r="I102" i="11"/>
  <c r="I101" i="11"/>
  <c r="I100" i="11"/>
  <c r="H86" i="11"/>
  <c r="I99" i="11"/>
  <c r="H82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F95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0" i="11" l="1"/>
  <c r="F96" i="11"/>
  <c r="F101" i="11"/>
  <c r="F103" i="11"/>
  <c r="F98" i="11"/>
  <c r="F97" i="11"/>
  <c r="F93" i="11"/>
  <c r="F92" i="11"/>
  <c r="F102" i="11"/>
  <c r="F94" i="11"/>
  <c r="E92" i="11"/>
  <c r="E103" i="11"/>
  <c r="E94" i="11"/>
  <c r="E101" i="11"/>
  <c r="E100" i="11"/>
  <c r="E102" i="11"/>
  <c r="E93" i="11"/>
  <c r="E97" i="11"/>
  <c r="E95" i="11"/>
  <c r="E99" i="11"/>
  <c r="E96" i="11"/>
  <c r="F19" i="2" l="1"/>
  <c r="G19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0" i="2"/>
  <c r="C20" i="2"/>
  <c r="B20" i="2"/>
  <c r="E19" i="2"/>
  <c r="G18" i="2"/>
  <c r="F18" i="2"/>
  <c r="E18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20" i="2"/>
  <c r="G8" i="2"/>
  <c r="G20" i="2"/>
  <c r="F20" i="2"/>
  <c r="E15" i="2"/>
  <c r="C22" i="2" l="1"/>
  <c r="D22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2" i="2"/>
  <c r="F22" i="2" l="1"/>
  <c r="G22" i="2"/>
  <c r="E8" i="2"/>
  <c r="E11" i="2" s="1"/>
  <c r="E22" i="2" s="1"/>
</calcChain>
</file>

<file path=xl/sharedStrings.xml><?xml version="1.0" encoding="utf-8"?>
<sst xmlns="http://schemas.openxmlformats.org/spreadsheetml/2006/main" count="2120" uniqueCount="209">
  <si>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</si>
  <si>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</si>
  <si>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</si>
  <si>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</si>
  <si>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</si>
  <si>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</si>
  <si>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</si>
  <si>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</si>
  <si>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</si>
  <si>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</si>
  <si>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</si>
  <si>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</si>
  <si>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</si>
  <si>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</si>
  <si>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</si>
  <si>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</si>
  <si>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</si>
  <si>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</si>
  <si>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</si>
  <si>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</si>
  <si>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</si>
  <si>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</si>
  <si>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</si>
  <si>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</si>
  <si>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</si>
  <si>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</si>
  <si>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</si>
  <si>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</si>
  <si>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</si>
  <si>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</si>
  <si>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</si>
  <si>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</si>
  <si>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</si>
  <si>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</si>
  <si>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</si>
  <si>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</si>
  <si>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</si>
  <si>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</si>
  <si>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</si>
  <si>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</si>
  <si>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</si>
  <si>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</si>
  <si>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</si>
  <si>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</si>
  <si>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</si>
  <si>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</si>
  <si>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</si>
  <si>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</si>
  <si>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</si>
  <si>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</si>
  <si>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</si>
  <si>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</si>
  <si>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</si>
  <si>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</si>
  <si>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</si>
  <si>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</si>
  <si>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</si>
  <si>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</si>
  <si>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</si>
  <si>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</si>
  <si>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</si>
  <si>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</si>
  <si>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</si>
  <si>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</si>
  <si>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</si>
  <si>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</si>
  <si>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</si>
  <si>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</si>
  <si>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</si>
  <si>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</si>
  <si>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</si>
  <si>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</si>
  <si>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</si>
  <si>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</si>
  <si>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</si>
  <si>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</si>
  <si>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</si>
  <si>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</si>
  <si>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</si>
  <si>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</si>
  <si>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</si>
  <si>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</si>
  <si>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</si>
  <si>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</si>
  <si>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</si>
  <si>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</si>
  <si>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</si>
  <si>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</si>
  <si>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</si>
  <si>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</si>
  <si>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</si>
  <si>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</si>
  <si>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</si>
  <si>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</si>
  <si>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</si>
  <si>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</si>
  <si>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</si>
  <si>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</si>
  <si>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</si>
  <si>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</si>
  <si>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</si>
  <si>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</si>
  <si>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</si>
  <si>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</si>
  <si>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</si>
  <si>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</si>
  <si>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</si>
  <si>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</si>
  <si>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</si>
  <si>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</si>
  <si>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</si>
  <si>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</si>
  <si>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</si>
  <si>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</si>
  <si>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</si>
  <si>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</si>
  <si>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</si>
  <si>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</si>
  <si>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</si>
  <si>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</si>
  <si>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</si>
  <si>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</si>
  <si>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</si>
  <si>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</si>
  <si>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</si>
  <si>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</si>
  <si>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</si>
  <si>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</si>
  <si>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</si>
  <si>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</si>
  <si>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</si>
  <si>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</si>
  <si>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</si>
  <si>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</si>
  <si>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</si>
  <si>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</si>
  <si>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</si>
  <si>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</si>
  <si>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</si>
  <si>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</si>
  <si>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</si>
  <si>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</si>
  <si>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</si>
  <si>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</si>
  <si>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</si>
  <si>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</si>
  <si>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</si>
  <si>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</si>
  <si>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</si>
  <si>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</si>
  <si>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</si>
  <si>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</si>
  <si>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</si>
  <si>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</si>
  <si>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</si>
  <si>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</si>
  <si>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</si>
  <si>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</si>
  <si>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</si>
  <si>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</si>
  <si>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</si>
  <si>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</si>
  <si>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</si>
  <si>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</si>
  <si>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</si>
  <si>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</si>
  <si>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</si>
  <si>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</si>
  <si>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</si>
  <si>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</si>
  <si>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</si>
  <si>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</si>
  <si>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</si>
  <si>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</si>
  <si>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</si>
  <si>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</si>
  <si>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</si>
  <si>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</si>
  <si>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</si>
  <si>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</si>
  <si>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</si>
  <si>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</si>
  <si>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</si>
  <si>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</si>
  <si>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</si>
  <si>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</si>
  <si>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</si>
  <si>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</si>
  <si>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</si>
  <si>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</si>
  <si>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</si>
  <si>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</si>
  <si>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</si>
  <si>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</si>
  <si>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</si>
  <si>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</si>
  <si>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</si>
  <si>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</si>
  <si>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r>
      <rPr>
        <b/>
        <sz val="11"/>
        <rFont val="Arial"/>
        <family val="2"/>
      </rPr>
      <t>C-12</t>
    </r>
    <r>
      <rPr>
        <sz val="11"/>
        <rFont val="Arial"/>
        <family val="2"/>
      </rPr>
      <t xml:space="preserve"> CONVERGENCIA REGIONAL / B. ENTIDADES PÚBLICAS TERRITORIALES Y NACIONALES FORTALECIDAS</t>
    </r>
  </si>
  <si>
    <r>
      <rPr>
        <b/>
        <sz val="11"/>
        <rFont val="Arial"/>
        <family val="2"/>
      </rPr>
      <t xml:space="preserve">C-11 </t>
    </r>
    <r>
      <rPr>
        <sz val="11"/>
        <rFont val="Arial"/>
        <family val="2"/>
      </rPr>
      <t>CONVERGENCIA REGIONAL / B. ENTIDADES PÚBLICAS TERRITORIALES Y NACIONALES FORTALECIDAS</t>
    </r>
  </si>
  <si>
    <r>
      <rPr>
        <b/>
        <sz val="11"/>
        <rFont val="Arial"/>
        <family val="2"/>
      </rPr>
      <t xml:space="preserve">C-3 </t>
    </r>
    <r>
      <rPr>
        <sz val="11"/>
        <rFont val="Arial"/>
        <family val="2"/>
      </rPr>
      <t>TRANSFORMACIÓN PRODUCTIVA, INTERNACIONALIZACIÓN Y ACCIÓN CLÍMATICA / C. MARCO REGULATORIO PARA INVESTIGAR E INNOVAR</t>
    </r>
  </si>
  <si>
    <r>
      <rPr>
        <b/>
        <sz val="11"/>
        <rFont val="Arial"/>
        <family val="2"/>
      </rPr>
      <t>A-001</t>
    </r>
    <r>
      <rPr>
        <sz val="11"/>
        <rFont val="Arial"/>
        <family val="2"/>
      </rPr>
      <t xml:space="preserve"> SUBSIDIO LIQUIDACIONES LEYES 550 DE 1999 Y 1116 DE 2006.</t>
    </r>
  </si>
  <si>
    <r>
      <rPr>
        <b/>
        <sz val="11"/>
        <rFont val="Arial"/>
        <family val="2"/>
      </rPr>
      <t>A-26</t>
    </r>
    <r>
      <rPr>
        <sz val="11"/>
        <rFont val="Arial"/>
        <family val="2"/>
      </rPr>
      <t xml:space="preserve"> GASTOS INHERENTES A LA INTERVENCIÓN ADMINISTRATIVA PARÁGRAFO  3,  ART. 10, DECRETO 4334 DE 2008, ART. 1   DECRETO 1761 DE 2009</t>
    </r>
  </si>
  <si>
    <r>
      <rPr>
        <b/>
        <sz val="11"/>
        <rFont val="Arial"/>
        <family val="2"/>
      </rPr>
      <t>A-00</t>
    </r>
    <r>
      <rPr>
        <sz val="11"/>
        <rFont val="Arial"/>
        <family val="2"/>
      </rPr>
      <t xml:space="preserve"> ADQUISICIÓN DE BIENES  Y SERVICIOS</t>
    </r>
  </si>
  <si>
    <r>
      <rPr>
        <b/>
        <sz val="11"/>
        <rFont val="Arial"/>
        <family val="2"/>
      </rPr>
      <t xml:space="preserve">A-10 </t>
    </r>
    <r>
      <rPr>
        <sz val="11"/>
        <rFont val="Arial"/>
        <family val="2"/>
      </rPr>
      <t>PRÉSTAMOS DE VIVIENDA</t>
    </r>
  </si>
  <si>
    <t>A03026</t>
  </si>
  <si>
    <t>A03001</t>
  </si>
  <si>
    <t>A06010</t>
  </si>
  <si>
    <t xml:space="preserve">EJECUCIÓN PRESUPUESTAL  Febrero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</si>
</sst>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6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12" fillId="0" borderId="5" xfId="0" applyFont="1" applyBorder="1" applyAlignment="1" applyProtection="1">
      <alignment vertical="center" wrapText="1"/>
      <protection locked="0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22.684929861112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22.68493009259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minValue="0" maxValue="253143346.74000001"/>
    </cacheField>
    <cacheField name="ORDEN PAGO" numFmtId="0">
      <sharedItems containsString="0" containsBlank="1" containsNumber="1" minValue="0" maxValue="245166083.74000001"/>
    </cacheField>
    <cacheField name="PAGOS" numFmtId="0">
      <sharedItems containsString="0" containsBlank="1" containsNumber="1" minValue="0" maxValue="245166083.7400000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5">
        <s v="A02"/>
        <s v="A03026"/>
        <s v="A03001"/>
        <s v="A06010"/>
        <s v="C35023"/>
        <s v="C359911"/>
        <s v="C359912"/>
        <s v=""/>
        <s v="A0301" u="1"/>
        <s v="A0303" u="1"/>
        <s v="A0604" u="1"/>
        <s v="A03" u="1"/>
        <s v="A06" u="1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22.684930787036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minValue="0" maxValue="253143346.74000001"/>
    </cacheField>
    <cacheField name="ORDEN PAGO" numFmtId="0">
      <sharedItems containsString="0" containsBlank="1" containsNumber="1" minValue="0" maxValue="245166083.74000001"/>
    </cacheField>
    <cacheField name="PAGOS" numFmtId="0">
      <sharedItems containsString="0" containsBlank="1" containsNumber="1" minValue="0" maxValue="245166083.7400000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6">
        <s v="A02"/>
        <s v="A03026"/>
        <s v="A03001"/>
        <s v="A06010"/>
        <s v="C35023"/>
        <s v="C359911"/>
        <s v="C359912"/>
        <s v=""/>
        <s v="A0301" u="1"/>
        <s v="A0303" u="1"/>
        <s v="A0604" u="1"/>
        <s v="A03" u="1"/>
        <s v="A06" u="1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0"/>
    <n v="0"/>
    <n v="0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253143346.74000001"/>
    <n v="245166083.74000001"/>
    <n v="245166083.74000001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113984097"/>
    <n v="0"/>
    <n v="0"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4618482"/>
    <n v="4618482"/>
    <n v="4618482"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137191938.31999999"/>
    <n v="0"/>
    <n v="0"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0"/>
    <n v="0"/>
    <n v="0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253143346.74000001"/>
    <n v="245166083.74000001"/>
    <n v="245166083.74000001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2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113984097"/>
    <n v="0"/>
    <n v="0"/>
    <m/>
    <m/>
    <x v="3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4618482"/>
    <n v="4618482"/>
    <n v="4618482"/>
    <m/>
    <m/>
    <x v="4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5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137191938.31999999"/>
    <n v="0"/>
    <n v="0"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20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1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7">
        <item x="7"/>
        <item m="1" x="16"/>
        <item m="1" x="20"/>
        <item m="1" x="19"/>
        <item m="1" x="13"/>
        <item m="1" x="14"/>
        <item m="1" x="15"/>
        <item m="1" x="22"/>
        <item m="1" x="23"/>
        <item x="0"/>
        <item m="1" x="11"/>
        <item m="1" x="12"/>
        <item m="1" x="25"/>
        <item m="1" x="17"/>
        <item m="1" x="21"/>
        <item m="1" x="18"/>
        <item m="1" x="24"/>
        <item x="4"/>
        <item x="5"/>
        <item x="6"/>
        <item m="1" x="8"/>
        <item m="1" x="9"/>
        <item m="1" x="10"/>
        <item x="1"/>
        <item x="2"/>
        <item x="3"/>
        <item t="default"/>
      </items>
    </pivotField>
  </pivotFields>
  <rowFields count="1">
    <field x="24"/>
  </rowFields>
  <rowItems count="9">
    <i>
      <x/>
    </i>
    <i>
      <x v="9"/>
    </i>
    <i>
      <x v="17"/>
    </i>
    <i>
      <x v="18"/>
    </i>
    <i>
      <x v="19"/>
    </i>
    <i>
      <x v="23"/>
    </i>
    <i>
      <x v="24"/>
    </i>
    <i>
      <x v="2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15" cacheId="204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6" cacheId="20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4">
      <pivotArea collapsedLevelsAreSubtotals="1" fieldPosition="0">
        <references count="1">
          <reference field="0" count="0"/>
        </references>
      </pivotArea>
    </format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8" cacheId="20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20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20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20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20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20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5">
        <i x="0"/>
        <i x="2"/>
        <i x="1"/>
        <i x="3"/>
        <i x="4"/>
        <i x="5"/>
        <i x="6"/>
        <i x="7" s="1" nd="1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5">
        <i x="0"/>
        <i x="2"/>
        <i x="1"/>
        <i x="3"/>
        <i x="4"/>
        <i x="5"/>
        <i x="6"/>
        <i x="7" s="1" nd="1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Row],[ORD]]),CONCATENATE(Super[[#This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0"/>
  <sheetViews>
    <sheetView tabSelected="1" view="pageBreakPreview" zoomScale="70" zoomScaleNormal="98" zoomScaleSheetLayoutView="70" workbookViewId="0">
      <selection activeCell="M14" sqref="M14"/>
    </sheetView>
  </sheetViews>
  <sheetFormatPr baseColWidth="10" defaultRowHeight="15"/>
  <cols>
    <col min="1" max="1" width="66.44140625" style="89" customWidth="1"/>
    <col min="2" max="4" width="19.5546875" style="104" customWidth="1"/>
    <col min="5" max="5" width="23.5546875" style="104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8" t="s">
        <v>208</v>
      </c>
      <c r="B2" s="128"/>
      <c r="C2" s="128"/>
      <c r="D2" s="128"/>
      <c r="E2" s="128"/>
      <c r="F2" s="128"/>
      <c r="G2" s="128"/>
      <c r="H2" s="88"/>
      <c r="I2" s="88"/>
      <c r="J2" s="88"/>
      <c r="K2" s="88"/>
      <c r="L2" s="88"/>
      <c r="M2" s="88"/>
    </row>
    <row r="3" spans="1:13" ht="24">
      <c r="A3" s="129" t="s">
        <v>186</v>
      </c>
      <c r="B3" s="129"/>
      <c r="C3" s="129"/>
      <c r="D3" s="129"/>
      <c r="E3" s="129"/>
      <c r="F3" s="129"/>
      <c r="G3" s="129"/>
    </row>
    <row r="4" spans="1:13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194</v>
      </c>
      <c r="F4" s="91" t="s">
        <v>195</v>
      </c>
      <c r="G4" s="92" t="s">
        <v>196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187</v>
      </c>
      <c r="B6" s="107">
        <f t="shared" ref="B6:G6" si="0">+B7</f>
        <v>28644468</v>
      </c>
      <c r="C6" s="107">
        <f t="shared" si="0"/>
        <v>4618482</v>
      </c>
      <c r="D6" s="107">
        <f t="shared" si="0"/>
        <v>4618482</v>
      </c>
      <c r="E6" s="107">
        <f t="shared" si="0"/>
        <v>24025986</v>
      </c>
      <c r="F6" s="108">
        <f t="shared" si="0"/>
        <v>0.1612346928558771</v>
      </c>
      <c r="G6" s="108">
        <f t="shared" si="0"/>
        <v>0.1612346928558771</v>
      </c>
    </row>
    <row r="7" spans="1:13" ht="29.25">
      <c r="A7" s="96" t="s">
        <v>200</v>
      </c>
      <c r="B7" s="109">
        <f>GETPIVOTDATA("Suma de COMPROMISO",CRIS!$A$2,"CM - A","C35023")</f>
        <v>28644468</v>
      </c>
      <c r="C7" s="109">
        <f>GETPIVOTDATA("Suma de OBLIGACION",CRIS!$A$2,"CM - A","C35023")</f>
        <v>4618482</v>
      </c>
      <c r="D7" s="109">
        <f>GETPIVOTDATA("Suma de ORDEN PAGO",CRIS!$A$2,"CM - A","C35023")</f>
        <v>4618482</v>
      </c>
      <c r="E7" s="110">
        <f>+B7-C7</f>
        <v>24025986</v>
      </c>
      <c r="F7" s="111">
        <f>+C7/B7</f>
        <v>0.1612346928558771</v>
      </c>
      <c r="G7" s="112">
        <f>+D7/B7</f>
        <v>0.1612346928558771</v>
      </c>
    </row>
    <row r="8" spans="1:13" ht="36">
      <c r="A8" s="97" t="s">
        <v>112</v>
      </c>
      <c r="B8" s="107">
        <f>+B9+B10</f>
        <v>1191202765.8600001</v>
      </c>
      <c r="C8" s="107">
        <f>+C9+C10</f>
        <v>137191938.31999999</v>
      </c>
      <c r="D8" s="107">
        <f>+D9+D10</f>
        <v>0</v>
      </c>
      <c r="E8" s="107">
        <f>SUM(E9:E10)</f>
        <v>1054010827.54</v>
      </c>
      <c r="F8" s="113">
        <f>+C8/B8</f>
        <v>0.11517093668008148</v>
      </c>
      <c r="G8" s="114">
        <f>+D8/B8</f>
        <v>0</v>
      </c>
    </row>
    <row r="9" spans="1:13" ht="29.25">
      <c r="A9" s="98" t="s">
        <v>199</v>
      </c>
      <c r="B9" s="109">
        <f>GETPIVOTDATA("Suma de COMPROMISO",CRIS!$A$2,"CM - A","C359911")</f>
        <v>389106500</v>
      </c>
      <c r="C9" s="109">
        <f>GETPIVOTDATA("Suma de OBLIGACION",CRIS!$A$2,"CM - A","C359911")</f>
        <v>0</v>
      </c>
      <c r="D9" s="109">
        <f>GETPIVOTDATA("Suma de ORDEN PAGO",CRIS!$A$2,"CM - A","C359911")</f>
        <v>0</v>
      </c>
      <c r="E9" s="109">
        <f>+B9-C9</f>
        <v>389106500</v>
      </c>
      <c r="F9" s="111">
        <f>+C9/B9</f>
        <v>0</v>
      </c>
      <c r="G9" s="115">
        <f>+D9/B9</f>
        <v>0</v>
      </c>
    </row>
    <row r="10" spans="1:13" ht="30" thickBot="1">
      <c r="A10" s="96" t="s">
        <v>198</v>
      </c>
      <c r="B10" s="109">
        <f>GETPIVOTDATA("Suma de COMPROMISO",CRIS!$A$2,"CM - A","C359912")</f>
        <v>802096265.86000001</v>
      </c>
      <c r="C10" s="109">
        <f>GETPIVOTDATA("Suma de OBLIGACION",CRIS!$A$2,"CM - A","C359912")</f>
        <v>137191938.31999999</v>
      </c>
      <c r="D10" s="109">
        <f>GETPIVOTDATA("Suma de ORDEN PAGO",CRIS!$A$2,"CM - A","C359912")</f>
        <v>0</v>
      </c>
      <c r="E10" s="109">
        <f>+B10-C10</f>
        <v>664904327.53999996</v>
      </c>
      <c r="F10" s="111">
        <f>+C10/B10</f>
        <v>0.17104173670837888</v>
      </c>
      <c r="G10" s="115">
        <f>+D10/B10</f>
        <v>0</v>
      </c>
    </row>
    <row r="11" spans="1:13" ht="37.5" customHeight="1" thickBot="1">
      <c r="A11" s="99" t="s">
        <v>113</v>
      </c>
      <c r="B11" s="107">
        <f>+B8+B6</f>
        <v>1219847233.8600001</v>
      </c>
      <c r="C11" s="107">
        <f>++C8+C6</f>
        <v>141810420.31999999</v>
      </c>
      <c r="D11" s="107">
        <f>+D8+D6</f>
        <v>4618482</v>
      </c>
      <c r="E11" s="107">
        <f>+E6+E8</f>
        <v>1078036813.54</v>
      </c>
      <c r="F11" s="113">
        <f>+C11/B11</f>
        <v>0.11625260637864047</v>
      </c>
      <c r="G11" s="114">
        <f>+D11/B11</f>
        <v>3.7861150739224906E-3</v>
      </c>
    </row>
    <row r="12" spans="1:13" ht="24">
      <c r="A12" s="130" t="s">
        <v>114</v>
      </c>
      <c r="B12" s="129"/>
      <c r="C12" s="129"/>
      <c r="D12" s="129"/>
      <c r="E12" s="129"/>
      <c r="F12" s="129"/>
      <c r="G12" s="129"/>
    </row>
    <row r="13" spans="1:13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 t="s">
        <v>194</v>
      </c>
      <c r="F13" s="91" t="s">
        <v>195</v>
      </c>
      <c r="G13" s="92" t="s">
        <v>196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100" t="s">
        <v>116</v>
      </c>
      <c r="B15" s="116">
        <f>SUM(B16:B19)</f>
        <v>1898187238.45</v>
      </c>
      <c r="C15" s="116">
        <f>SUM(C16:C19)</f>
        <v>367127443.74000001</v>
      </c>
      <c r="D15" s="116">
        <f>SUM(D16:D19)</f>
        <v>245166083.74000001</v>
      </c>
      <c r="E15" s="116">
        <f>SUM(E16:E19)</f>
        <v>1531059794.71</v>
      </c>
      <c r="F15" s="117">
        <f t="shared" ref="F15:F20" si="1">+C15/B15</f>
        <v>0.1934094994968909</v>
      </c>
      <c r="G15" s="118">
        <f t="shared" ref="G15:G20" si="2">+D15/B15</f>
        <v>0.12915800863785962</v>
      </c>
    </row>
    <row r="16" spans="1:13" ht="23.25">
      <c r="A16" s="101" t="s">
        <v>203</v>
      </c>
      <c r="B16" s="119">
        <f>GETPIVOTDATA("Suma de COMPROMISO",CRIS!$A$2,"CM - A","A02")</f>
        <v>162710084</v>
      </c>
      <c r="C16" s="119">
        <f>GETPIVOTDATA("Suma de OBLIGACION",CRIS!$A$2,"CM - A","A02")</f>
        <v>0</v>
      </c>
      <c r="D16" s="119">
        <f>GETPIVOTDATA("Suma de ORDEN PAGO",CRIS!$A$2,"CM - A","A02")</f>
        <v>0</v>
      </c>
      <c r="E16" s="109">
        <f>+B16-C16</f>
        <v>162710084</v>
      </c>
      <c r="F16" s="111">
        <f t="shared" si="1"/>
        <v>0</v>
      </c>
      <c r="G16" s="115">
        <f t="shared" si="2"/>
        <v>0</v>
      </c>
    </row>
    <row r="17" spans="1:7" ht="29.25">
      <c r="A17" s="127" t="s">
        <v>202</v>
      </c>
      <c r="B17" s="119">
        <f>GETPIVOTDATA("Suma de COMPROMISO",CRIS!$A$2,"CM - A","A03026")</f>
        <v>680772230.45000005</v>
      </c>
      <c r="C17" s="119">
        <f>GETPIVOTDATA("Suma de OBLIGACION",CRIS!$A$2,"CM - A","A03026")</f>
        <v>253143346.74000001</v>
      </c>
      <c r="D17" s="119">
        <f>GETPIVOTDATA("Suma de ORDEN PAGO",CRIS!$A$2,"CM - A","A03026")</f>
        <v>245166083.74000001</v>
      </c>
      <c r="E17" s="109">
        <f>+B17-C17</f>
        <v>427628883.71000004</v>
      </c>
      <c r="F17" s="111">
        <f t="shared" ref="F17" si="3">+C17/B17</f>
        <v>0.37184734543691461</v>
      </c>
      <c r="G17" s="115">
        <f t="shared" ref="G17" si="4">+D17/B17</f>
        <v>0.36012938362356783</v>
      </c>
    </row>
    <row r="18" spans="1:7" ht="23.25">
      <c r="A18" s="101" t="s">
        <v>201</v>
      </c>
      <c r="B18" s="119">
        <f>GETPIVOTDATA("Suma de COMPROMISO",CRIS!$A$2,"CM - A","A03001")</f>
        <v>42003704</v>
      </c>
      <c r="C18" s="119">
        <f>GETPIVOTDATA("Suma de OBLIGACION",CRIS!$A$2,"CM - A","A03001")</f>
        <v>0</v>
      </c>
      <c r="D18" s="119">
        <f>GETPIVOTDATA("Suma de ORDEN PAGO",CRIS!$A$2,"CM - A","A03001")</f>
        <v>0</v>
      </c>
      <c r="E18" s="109">
        <f>+B18-C18</f>
        <v>42003704</v>
      </c>
      <c r="F18" s="111">
        <f t="shared" si="1"/>
        <v>0</v>
      </c>
      <c r="G18" s="115">
        <f t="shared" si="2"/>
        <v>0</v>
      </c>
    </row>
    <row r="19" spans="1:7" ht="24" thickBot="1">
      <c r="A19" s="101" t="s">
        <v>204</v>
      </c>
      <c r="B19" s="119">
        <f>GETPIVOTDATA("Suma de COMPROMISO",CRIS!$A$2,"CM - A","A06010")</f>
        <v>1012701220</v>
      </c>
      <c r="C19" s="119">
        <f>GETPIVOTDATA("Suma de OBLIGACION",CRIS!$A$2,"CM - A","A06010")</f>
        <v>113984097</v>
      </c>
      <c r="D19" s="119">
        <f>GETPIVOTDATA("Suma de ORDEN PAGO",CRIS!$A$2,"CM - A","A06010")</f>
        <v>0</v>
      </c>
      <c r="E19" s="109">
        <f>+B19-C19</f>
        <v>898717123</v>
      </c>
      <c r="F19" s="111">
        <f t="shared" si="1"/>
        <v>0.11255451731360608</v>
      </c>
      <c r="G19" s="115">
        <f t="shared" si="2"/>
        <v>0</v>
      </c>
    </row>
    <row r="20" spans="1:7" ht="21" thickBot="1">
      <c r="A20" s="102" t="s">
        <v>117</v>
      </c>
      <c r="B20" s="120">
        <f>SUM(B16:B19)</f>
        <v>1898187238.45</v>
      </c>
      <c r="C20" s="120">
        <f>SUM(C16:C19)</f>
        <v>367127443.74000001</v>
      </c>
      <c r="D20" s="120">
        <f>SUM(D16:D19)</f>
        <v>245166083.74000001</v>
      </c>
      <c r="E20" s="120">
        <f>SUM(E16:E19)</f>
        <v>1531059794.71</v>
      </c>
      <c r="F20" s="121">
        <f t="shared" si="1"/>
        <v>0.1934094994968909</v>
      </c>
      <c r="G20" s="121">
        <f t="shared" si="2"/>
        <v>0.12915800863785962</v>
      </c>
    </row>
    <row r="21" spans="1:7" ht="21" thickBot="1">
      <c r="A21" s="103"/>
      <c r="B21" s="122"/>
      <c r="C21" s="122"/>
      <c r="D21" s="122"/>
      <c r="E21" s="122"/>
      <c r="F21" s="123"/>
      <c r="G21" s="124"/>
    </row>
    <row r="22" spans="1:7" ht="21" thickBot="1">
      <c r="A22" s="102" t="s">
        <v>118</v>
      </c>
      <c r="B22" s="120">
        <f>+B20+B11</f>
        <v>3118034472.3100004</v>
      </c>
      <c r="C22" s="120">
        <f>+C20+C11</f>
        <v>508937864.06</v>
      </c>
      <c r="D22" s="120">
        <f>+D20+D11</f>
        <v>249784565.74000001</v>
      </c>
      <c r="E22" s="120">
        <f>+E20+E11</f>
        <v>2609096608.25</v>
      </c>
      <c r="F22" s="121">
        <f>+C22/B22</f>
        <v>0.16322393757338821</v>
      </c>
      <c r="G22" s="121">
        <f>+D22/B22</f>
        <v>8.0109622891675974E-2</v>
      </c>
    </row>
    <row r="23" spans="1:7">
      <c r="B23" s="125"/>
      <c r="C23" s="125"/>
      <c r="D23" s="125"/>
      <c r="E23" s="125"/>
      <c r="F23" s="126"/>
      <c r="G23" s="126"/>
    </row>
    <row r="29" spans="1:7">
      <c r="F29" s="105"/>
    </row>
    <row r="30" spans="1:7">
      <c r="F30" s="106"/>
    </row>
  </sheetData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D2" sqref="D2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191</v>
      </c>
      <c r="C2" s="13" t="s">
        <v>136</v>
      </c>
      <c r="D2" s="13" t="s">
        <v>185</v>
      </c>
    </row>
    <row r="3" spans="1:4">
      <c r="A3" s="79"/>
    </row>
    <row r="4" spans="1:4">
      <c r="A4" s="79" t="s">
        <v>125</v>
      </c>
      <c r="B4" s="13">
        <v>162710084</v>
      </c>
      <c r="C4" s="13">
        <v>0</v>
      </c>
      <c r="D4" s="13">
        <v>0</v>
      </c>
    </row>
    <row r="5" spans="1:4">
      <c r="A5" s="79" t="s">
        <v>119</v>
      </c>
      <c r="B5" s="13">
        <v>28644468</v>
      </c>
      <c r="C5" s="13">
        <v>4618482</v>
      </c>
      <c r="D5" s="13">
        <v>4618482</v>
      </c>
    </row>
    <row r="6" spans="1:4">
      <c r="A6" s="79" t="s">
        <v>120</v>
      </c>
      <c r="B6" s="13">
        <v>389106500</v>
      </c>
      <c r="C6" s="13">
        <v>0</v>
      </c>
      <c r="D6" s="13">
        <v>0</v>
      </c>
    </row>
    <row r="7" spans="1:4">
      <c r="A7" s="79" t="s">
        <v>121</v>
      </c>
      <c r="B7" s="13">
        <v>802096265.86000001</v>
      </c>
      <c r="C7" s="13">
        <v>137191938.31999999</v>
      </c>
      <c r="D7" s="13">
        <v>0</v>
      </c>
    </row>
    <row r="8" spans="1:4">
      <c r="A8" s="79" t="s">
        <v>205</v>
      </c>
      <c r="B8" s="13">
        <v>680772230.45000005</v>
      </c>
      <c r="C8" s="13">
        <v>253143346.74000001</v>
      </c>
      <c r="D8" s="13">
        <v>245166083.74000001</v>
      </c>
    </row>
    <row r="9" spans="1:4">
      <c r="A9" s="79" t="s">
        <v>206</v>
      </c>
      <c r="B9" s="13">
        <v>42003704</v>
      </c>
      <c r="C9" s="13">
        <v>0</v>
      </c>
      <c r="D9" s="13">
        <v>0</v>
      </c>
    </row>
    <row r="10" spans="1:4">
      <c r="A10" s="79" t="s">
        <v>207</v>
      </c>
      <c r="B10" s="13">
        <v>1012701220</v>
      </c>
      <c r="C10" s="13">
        <v>113984097</v>
      </c>
      <c r="D10" s="13">
        <v>0</v>
      </c>
    </row>
    <row r="11" spans="1:4">
      <c r="A11" s="79" t="s">
        <v>135</v>
      </c>
      <c r="B11" s="13">
        <v>3118034472.3100004</v>
      </c>
      <c r="C11" s="13">
        <v>508937864.06</v>
      </c>
      <c r="D11" s="13">
        <v>249784565.74000001</v>
      </c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zoomScale="80" zoomScaleNormal="80" workbookViewId="0">
      <pane ySplit="1" topLeftCell="A2" activePane="bottomLeft" state="frozen"/>
      <selection activeCell="B1" sqref="B1"/>
      <selection pane="bottomLeft" activeCell="W1" sqref="W1:AB1048576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customWidth="1"/>
    <col min="26" max="26" width="22.33203125" customWidth="1"/>
  </cols>
  <sheetData>
    <row r="1" spans="1:26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6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0</v>
      </c>
      <c r="V2" s="84">
        <v>0</v>
      </c>
      <c r="W2" s="84">
        <v>0</v>
      </c>
      <c r="X2" s="19"/>
      <c r="Y2" s="19"/>
      <c r="Z2" t="str">
        <f>IF(Super[[#This Row],[TIPO]]="A",CONCATENATE(Super[[#This Row],[TIPO]],Super[[#This Row],[CTA]],Super[[#This Row],[ORD]]),CONCATENATE(Super[[#This Row],[TIPO]],Super[[#This Row],[CTA]],Super[[#This Row],[OBJ]]))</f>
        <v>A02</v>
      </c>
    </row>
    <row r="3" spans="1:26">
      <c r="A3" s="16" t="s">
        <v>132</v>
      </c>
      <c r="B3" s="81" t="s">
        <v>33</v>
      </c>
      <c r="C3" s="82" t="s">
        <v>34</v>
      </c>
      <c r="D3" s="83" t="s">
        <v>188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197</v>
      </c>
      <c r="J3" s="81"/>
      <c r="K3" s="81"/>
      <c r="L3" s="81"/>
      <c r="M3" s="81"/>
      <c r="N3" s="81" t="s">
        <v>189</v>
      </c>
      <c r="O3" s="81" t="s">
        <v>78</v>
      </c>
      <c r="P3" s="81" t="s">
        <v>40</v>
      </c>
      <c r="Q3" s="82" t="s">
        <v>190</v>
      </c>
      <c r="R3" s="84" t="s">
        <v>1</v>
      </c>
      <c r="S3" s="84" t="s">
        <v>1</v>
      </c>
      <c r="T3" s="84">
        <v>680772230.45000005</v>
      </c>
      <c r="U3" s="85">
        <v>253143346.74000001</v>
      </c>
      <c r="V3" s="84">
        <v>245166083.74000001</v>
      </c>
      <c r="W3" s="84">
        <v>245166083.74000001</v>
      </c>
      <c r="X3" s="19"/>
      <c r="Y3" s="19"/>
      <c r="Z3" t="str">
        <f>IF(Super[[#This Row],[TIPO]]="A",CONCATENATE(Super[[#This Row],[TIPO]],Super[[#This Row],[CTA]],Super[[#This Row],[ORD]]),CONCATENATE(Super[[#This Row],[TIPO]],Super[[#This Row],[CTA]],Super[[#This Row],[OBJ]]))</f>
        <v>A03026</v>
      </c>
    </row>
    <row r="4" spans="1:26">
      <c r="A4" s="16" t="s">
        <v>132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0</v>
      </c>
      <c r="V4" s="84">
        <v>0</v>
      </c>
      <c r="W4" s="84">
        <v>0</v>
      </c>
      <c r="X4" s="19"/>
      <c r="Y4" s="19"/>
      <c r="Z4" t="str">
        <f>IF(Super[[#This Row],[TIPO]]="A",CONCATENATE(Super[[#This Row],[TIPO]],Super[[#This Row],[CTA]],Super[[#This Row],[ORD]]),CONCATENATE(Super[[#This Row],[TIPO]],Super[[#This Row],[CTA]],Super[[#This Row],[OBJ]]))</f>
        <v>A03001</v>
      </c>
    </row>
    <row r="5" spans="1:26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1012701220</v>
      </c>
      <c r="U5" s="85">
        <v>113984097</v>
      </c>
      <c r="V5" s="84">
        <v>0</v>
      </c>
      <c r="W5" s="84">
        <v>0</v>
      </c>
      <c r="X5" s="19"/>
      <c r="Y5" s="19"/>
      <c r="Z5" t="str">
        <f>IF(Super[[#This Row],[TIPO]]="A",CONCATENATE(Super[[#This Row],[TIPO]],Super[[#This Row],[CTA]],Super[[#This Row],[ORD]]),CONCATENATE(Super[[#This Row],[TIPO]],Super[[#This Row],[CTA]],Super[[#This Row],[OBJ]]))</f>
        <v>A06010</v>
      </c>
    </row>
    <row r="6" spans="1:26">
      <c r="A6" s="16" t="s">
        <v>132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28644468</v>
      </c>
      <c r="U6" s="85">
        <v>4618482</v>
      </c>
      <c r="V6" s="84">
        <v>4618482</v>
      </c>
      <c r="W6" s="84">
        <v>4618482</v>
      </c>
      <c r="X6" s="19"/>
      <c r="Y6" s="19"/>
      <c r="Z6" t="str">
        <f>IF(Super[[#This Row],[TIPO]]="A",CONCATENATE(Super[[#This Row],[TIPO]],Super[[#This Row],[CTA]],Super[[#This Row],[ORD]]),CONCATENATE(Super[[#This Row],[TIPO]],Super[[#This Row],[CTA]],Super[[#This Row],[OBJ]]))</f>
        <v>C35023</v>
      </c>
    </row>
    <row r="7" spans="1:26">
      <c r="A7" s="16" t="s">
        <v>132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0</v>
      </c>
      <c r="V7" s="84">
        <v>0</v>
      </c>
      <c r="W7" s="84">
        <v>0</v>
      </c>
      <c r="X7" s="19"/>
      <c r="Y7" s="19"/>
      <c r="Z7" t="str">
        <f>IF(Super[[#This Row],[TIPO]]="A",CONCATENATE(Super[[#This Row],[TIPO]],Super[[#This Row],[CTA]],Super[[#This Row],[ORD]]),CONCATENATE(Super[[#This Row],[TIPO]],Super[[#This Row],[CTA]],Super[[#This Row],[OBJ]]))</f>
        <v>C359911</v>
      </c>
    </row>
    <row r="8" spans="1:26" ht="22.5">
      <c r="A8" s="16" t="s">
        <v>132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802096265.86000001</v>
      </c>
      <c r="U8" s="19">
        <v>137191938.31999999</v>
      </c>
      <c r="V8" s="19">
        <v>0</v>
      </c>
      <c r="W8" s="19">
        <v>0</v>
      </c>
      <c r="X8" s="19"/>
      <c r="Y8" s="19"/>
      <c r="Z8" t="str">
        <f>IF(Super[[#This Row],[TIPO]]="A",CONCATENATE(Super[[#This Row],[TIPO]],Super[[#This Row],[CTA]],Super[[#This Row],[ORD]]),CONCATENATE(Super[[#This Row],[TIPO]],Super[[#This Row],[CTA]],Super[[#This Row],[OBJ]]))</f>
        <v>C359912</v>
      </c>
    </row>
    <row r="9" spans="1:26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" spans="1:26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" spans="1:26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" spans="1:26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" spans="1:26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" spans="1:26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" spans="1:26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" spans="1:26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" spans="1:26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" spans="1:26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" spans="1:26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" spans="1:26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" spans="1:26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" spans="1:26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" spans="1:26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" spans="1:26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" spans="1:26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" spans="1:26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1" t="s">
        <v>150</v>
      </c>
      <c r="B2" s="131"/>
      <c r="C2" s="131"/>
      <c r="D2" s="131"/>
      <c r="E2" s="131"/>
      <c r="F2" s="131"/>
      <c r="G2" s="131"/>
      <c r="H2" s="131"/>
      <c r="I2" s="131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K17" s="79" t="s">
        <v>135</v>
      </c>
    </row>
    <row r="21" spans="1:18">
      <c r="A21" s="131" t="s">
        <v>170</v>
      </c>
      <c r="B21" s="131"/>
      <c r="C21" s="131"/>
      <c r="D21" s="131"/>
      <c r="E21" s="131"/>
      <c r="F21" s="131"/>
      <c r="G21" s="131"/>
      <c r="H21" s="131"/>
      <c r="I21" s="131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K36" s="79" t="s">
        <v>135</v>
      </c>
    </row>
    <row r="39" spans="1:18">
      <c r="B39" s="132" t="s">
        <v>163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508937864.06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>
        <v>508937864.06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4" t="s">
        <v>115</v>
      </c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4" t="s">
        <v>166</v>
      </c>
      <c r="D74" s="135"/>
      <c r="E74" s="135"/>
      <c r="F74" s="135"/>
      <c r="G74" s="135"/>
      <c r="H74" s="135"/>
      <c r="I74" s="135"/>
      <c r="J74" s="135"/>
      <c r="K74" s="135"/>
      <c r="L74" s="135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0.11625260637864047</v>
      </c>
      <c r="F88" s="65">
        <f>+Ejecucion!D11/Ejecucion!B11</f>
        <v>3.7861150739224906E-3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3" t="s">
        <v>163</v>
      </c>
      <c r="D90" s="133"/>
      <c r="E90" s="133"/>
      <c r="F90" s="133"/>
      <c r="G90" s="133"/>
      <c r="H90" s="133"/>
      <c r="I90" s="133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2025-03-06T21:54:20Z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