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3. Marzo/"/>
    </mc:Choice>
  </mc:AlternateContent>
  <xr:revisionPtr revIDLastSave="0" documentId="14_{AD4A2E95-CC67-40F5-9401-15C2CE2AEEEC}" xr6:coauthVersionLast="47" xr6:coauthVersionMax="47" xr10:uidLastSave="{00000000-0000-0000-0000-000000000000}"/>
  <workbookProtection workbookAlgorithmName="SHA-512" workbookHashValue="deZFGJr6YtxTN98IbZLfPC+Eco9CuEf36luiHbVomnSWxZTP0lRg8zcZxAw30mVh71fmFqGzydnFjdVrUhH5GQ==" workbookSaltValue="p9GQSrnxMcyRqGeE2dEf4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58" r:id="rId8"/>
    <pivotCache cacheId="6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20" i="2"/>
  <c r="C16" i="2"/>
  <c r="G53" i="32"/>
  <c r="B16" i="2"/>
  <c r="H50" i="32"/>
  <c r="D7" i="2"/>
  <c r="H53" i="32"/>
  <c r="G44" i="32"/>
  <c r="G49" i="32"/>
  <c r="B10" i="2"/>
  <c r="H46" i="32"/>
  <c r="C20" i="2"/>
  <c r="H43" i="32"/>
  <c r="H49" i="32"/>
  <c r="B17" i="2"/>
  <c r="G43" i="32"/>
  <c r="D18" i="2"/>
  <c r="B9" i="2"/>
  <c r="H51" i="32"/>
  <c r="C19" i="2"/>
  <c r="H52" i="32"/>
  <c r="D10" i="2"/>
  <c r="D9" i="2"/>
  <c r="H48" i="32"/>
  <c r="C18" i="2"/>
  <c r="D20" i="2"/>
  <c r="G45" i="32"/>
  <c r="D17" i="2"/>
  <c r="B18" i="2"/>
  <c r="G52" i="32"/>
  <c r="D19" i="2"/>
  <c r="H42" i="32"/>
  <c r="H45" i="32"/>
  <c r="C17" i="2"/>
  <c r="G50" i="32"/>
  <c r="C10" i="2"/>
  <c r="G51" i="32"/>
  <c r="G47" i="32"/>
  <c r="D16" i="2"/>
  <c r="G42" i="32"/>
  <c r="B19" i="2"/>
  <c r="G48" i="32"/>
  <c r="G46" i="32"/>
  <c r="C9" i="2"/>
  <c r="H47" i="32"/>
  <c r="B7" i="2"/>
  <c r="C7" i="2"/>
  <c r="H44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I101" i="11" l="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F98" i="11" l="1"/>
  <c r="F103" i="11"/>
  <c r="F97" i="11"/>
  <c r="F94" i="11"/>
  <c r="F95" i="11"/>
  <c r="F101" i="11"/>
  <c r="F102" i="11"/>
  <c r="F93" i="11"/>
  <c r="F9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<sst xmlns="http://schemas.openxmlformats.org/spreadsheetml/2006/main" count="2300" uniqueCount="203">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</sst>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left" vertical="center" wrapText="1" readingOrder="1"/>
    </xf>
    <xf numFmtId="0" fontId="25" fillId="0" borderId="6" xfId="0" applyFont="1" applyBorder="1" applyAlignment="1">
      <alignment vertical="center" wrapText="1" readingOrder="1"/>
    </xf>
    <xf numFmtId="164" fontId="25" fillId="0" borderId="6" xfId="0" applyNumberFormat="1" applyFont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5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21531828702" createdVersion="6" refreshedVersion="8" minRefreshableVersion="3" recordCount="281" xr:uid="{00000000-000A-0000-FFFF-FFFF5601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40000000" maxValue="72773990000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2773990000"/>
    </cacheField>
    <cacheField name="APR. DISPONIBLE" numFmtId="0">
      <sharedItems containsString="0" containsBlank="1" containsNumber="1" minValue="0" maxValue="12483661460"/>
    </cacheField>
    <cacheField name="COMPROMISO" numFmtId="0">
      <sharedItems containsString="0" containsBlank="1" containsNumber="1" minValue="0" maxValue="15682728074"/>
    </cacheField>
    <cacheField name="OBLIGACION" numFmtId="0">
      <sharedItems containsString="0" containsBlank="1" containsNumber="1" minValue="0" maxValue="15600578838.27"/>
    </cacheField>
    <cacheField name="ORDEN PAGO" numFmtId="0">
      <sharedItems containsString="0" containsBlank="1" containsNumber="1" minValue="0" maxValue="15600578838.27"/>
    </cacheField>
    <cacheField name="PAGOS" numFmtId="0">
      <sharedItems containsString="0" containsBlank="1" containsNumber="1" minValue="0" maxValue="15598397061.27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63.421532638888" createdVersion="6" refreshedVersion="8" minRefreshableVersion="3" recordCount="12" xr:uid="{00000000-000A-0000-FFFF-FFFF5701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26856514342417354" maxValue="0.26856514342417354"/>
    </cacheField>
    <cacheField name="ACTUAL-OBLIGADO" numFmtId="168">
      <sharedItems containsMixedTypes="1" containsNumber="1" minValue="0.19475813982034421" maxValue="0.19475813982034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0"/>
    <n v="0"/>
    <n v="72773990000"/>
    <n v="0"/>
    <n v="72773990000"/>
    <n v="0"/>
    <n v="15682728074"/>
    <n v="15600578838.27"/>
    <n v="15600578838.27"/>
    <n v="15598397061.27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4534057582"/>
    <n v="4534057582"/>
    <n v="4092517160"/>
    <n v="4092517160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0"/>
    <n v="0"/>
    <n v="18628192000"/>
    <n v="0"/>
    <n v="18628192000"/>
    <n v="0"/>
    <n v="1768786249"/>
    <n v="1760629656"/>
    <n v="1760629656"/>
    <n v="1758516414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15435420"/>
    <n v="15435420"/>
    <n v="15435420"/>
    <n v="15435420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4437062"/>
    <n v="4437062"/>
    <n v="4057632"/>
    <n v="4057632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722396"/>
    <n v="722396"/>
    <n v="722396"/>
    <n v="72239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0"/>
    <n v="0"/>
    <n v="17932167000"/>
    <n v="0"/>
    <n v="17203198811.669998"/>
    <n v="728968188.33000004"/>
    <n v="14722208419.9"/>
    <n v="3302803213.1500001"/>
    <n v="3066165743.8200002"/>
    <n v="3066165743.8200002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0"/>
    <n v="18090000000"/>
    <n v="6030773600"/>
    <n v="1205922640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8555370"/>
    <n v="439944630"/>
    <n v="6102062"/>
    <n v="6102062"/>
    <n v="6102062"/>
    <n v="6102062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0"/>
    <n v="487405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104222217"/>
    <n v="104222217"/>
    <n v="104222217"/>
    <n v="104222217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510928635"/>
    <n v="2533071365"/>
    <n v="510928635"/>
    <n v="510928635"/>
    <n v="510928635"/>
    <n v="510928635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2630166650.75"/>
    <n v="11799433349.25"/>
    <n v="2630166650.75"/>
    <n v="2630166650.75"/>
    <n v="2630166650.75"/>
    <n v="2630166650.75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500000000"/>
    <n v="2500000000"/>
    <n v="222686017"/>
    <n v="222686017"/>
    <n v="222686017"/>
    <n v="222686017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1363048278.1199999"/>
    <n v="1277378278.1199999"/>
    <n v="1149998278.1199999"/>
    <n v="1149998278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71080"/>
    <n v="371080"/>
    <n v="136993"/>
    <n v="136993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09603187"/>
    <n v="5127813"/>
    <n v="309603187"/>
    <n v="287256006"/>
    <n v="287256006"/>
    <n v="28725600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559011255.3299999"/>
    <n v="155766032.66999999"/>
    <n v="4447241250.8299999"/>
    <n v="370556650.13"/>
    <n v="339653018.13"/>
    <n v="339653018.13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0776157125"/>
    <n v="12483661460"/>
    <n v="6950102990.96"/>
    <n v="806853426.82000005"/>
    <n v="480829426.81999999"/>
    <n v="480829426.81999999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301631955.16000003"/>
    <n v="2419972171.8400002"/>
    <n v="97069092.159999996"/>
    <n v="37175527.420000002"/>
    <n v="5858333"/>
    <n v="5858333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26856514342417354"/>
    <n v="0.19475813982034421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8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5" cacheId="5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4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0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2" totalsRowShown="0" headerRowDxfId="44" headerRowBorderDxfId="43" tableBorderDxfId="42">
  <autoFilter ref="A1:AF282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M22" sqref="M22"/>
    </sheetView>
  </sheetViews>
  <sheetFormatPr baseColWidth="10" defaultRowHeight="15"/>
  <cols>
    <col min="1" max="1" width="66.44140625" style="85" customWidth="1"/>
    <col min="2" max="4" width="19.5546875" style="99" customWidth="1"/>
    <col min="5" max="5" width="23.5546875" style="99" customWidth="1"/>
    <col min="6" max="6" width="19.6640625" style="85" customWidth="1"/>
    <col min="7" max="7" width="17.77734375" style="85" customWidth="1"/>
    <col min="8" max="16384" width="11.5546875" style="85"/>
  </cols>
  <sheetData>
    <row r="2" spans="1:12" ht="23.25" customHeight="1">
      <c r="A2" s="122" t="s">
        <v>202</v>
      </c>
      <c r="B2" s="122"/>
      <c r="C2" s="122"/>
      <c r="D2" s="122"/>
      <c r="E2" s="122"/>
      <c r="F2" s="122"/>
      <c r="G2" s="122"/>
      <c r="H2" s="84"/>
      <c r="I2" s="84"/>
      <c r="J2" s="84"/>
      <c r="K2" s="84"/>
      <c r="L2" s="84"/>
    </row>
    <row r="3" spans="1:12" ht="24" customHeight="1">
      <c r="A3" s="121" t="s">
        <v>131</v>
      </c>
      <c r="B3" s="121"/>
      <c r="C3" s="121"/>
      <c r="D3" s="121"/>
      <c r="E3" s="121"/>
      <c r="F3" s="121"/>
      <c r="G3" s="121"/>
    </row>
    <row r="4" spans="1:12" ht="31.5">
      <c r="A4" s="86" t="s">
        <v>107</v>
      </c>
      <c r="B4" s="87" t="s">
        <v>108</v>
      </c>
      <c r="C4" s="87" t="s">
        <v>109</v>
      </c>
      <c r="D4" s="87" t="s">
        <v>110</v>
      </c>
      <c r="E4" s="87" t="s">
        <v>111</v>
      </c>
      <c r="F4" s="88" t="s">
        <v>112</v>
      </c>
      <c r="G4" s="89" t="s">
        <v>113</v>
      </c>
    </row>
    <row r="5" spans="1:12" ht="15.75">
      <c r="A5" s="90"/>
      <c r="B5" s="87">
        <v>-1</v>
      </c>
      <c r="C5" s="87">
        <v>-2</v>
      </c>
      <c r="D5" s="87">
        <v>-3</v>
      </c>
      <c r="E5" s="87" t="s">
        <v>114</v>
      </c>
      <c r="F5" s="88" t="s">
        <v>115</v>
      </c>
      <c r="G5" s="89" t="s">
        <v>116</v>
      </c>
    </row>
    <row r="6" spans="1:12" ht="36">
      <c r="A6" s="91" t="s">
        <v>117</v>
      </c>
      <c r="B6" s="102">
        <f t="shared" ref="B6:G6" si="0">+B7</f>
        <v>4714777288</v>
      </c>
      <c r="C6" s="102">
        <f t="shared" si="0"/>
        <v>4447241250.8299999</v>
      </c>
      <c r="D6" s="102">
        <f t="shared" si="0"/>
        <v>370556650.13</v>
      </c>
      <c r="E6" s="102">
        <f t="shared" si="0"/>
        <v>267536037.17000008</v>
      </c>
      <c r="F6" s="103">
        <f t="shared" si="0"/>
        <v>0.94325584840434984</v>
      </c>
      <c r="G6" s="103">
        <f t="shared" si="0"/>
        <v>7.8594730460150627E-2</v>
      </c>
    </row>
    <row r="7" spans="1:12" ht="57">
      <c r="A7" s="92" t="s">
        <v>118</v>
      </c>
      <c r="B7" s="104">
        <f>GETPIVOTDATA("Suma de APR. VIGENTE",CRIS!$A$3,"CM - A","C3")</f>
        <v>4714777288</v>
      </c>
      <c r="C7" s="104">
        <f>GETPIVOTDATA("Suma de COMPROMISO",CRIS!$A$3,"CM - A","C3")</f>
        <v>4447241250.8299999</v>
      </c>
      <c r="D7" s="104">
        <f>GETPIVOTDATA("Suma de OBLIGACION",CRIS!$A$3,"CM - A","C3")</f>
        <v>370556650.13</v>
      </c>
      <c r="E7" s="105">
        <f>+B7-C7</f>
        <v>267536037.17000008</v>
      </c>
      <c r="F7" s="106">
        <f>+C7/B7</f>
        <v>0.94325584840434984</v>
      </c>
      <c r="G7" s="107">
        <f>+D7/B7</f>
        <v>7.8594730460150627E-2</v>
      </c>
    </row>
    <row r="8" spans="1:12" ht="36">
      <c r="A8" s="91" t="s">
        <v>119</v>
      </c>
      <c r="B8" s="102">
        <f>SUM(B9:B10)</f>
        <v>25981422712</v>
      </c>
      <c r="C8" s="102">
        <f>SUM(C9:C10)</f>
        <v>7047172083.1199999</v>
      </c>
      <c r="D8" s="102">
        <f>SUM(D9:D10)</f>
        <v>844028954.24000001</v>
      </c>
      <c r="E8" s="102">
        <f>SUM(E9:E10)</f>
        <v>18934250628.880001</v>
      </c>
      <c r="F8" s="108">
        <f>+C8/B8</f>
        <v>0.27123888330661483</v>
      </c>
      <c r="G8" s="109">
        <f>+D8/B8</f>
        <v>3.248586359553627E-2</v>
      </c>
    </row>
    <row r="9" spans="1:12" ht="57">
      <c r="A9" s="93" t="s">
        <v>201</v>
      </c>
      <c r="B9" s="104">
        <f>GETPIVOTDATA("Suma de APR. VIGENTE",CRIS!$A$3,"CM - A","C11")</f>
        <v>23259818585</v>
      </c>
      <c r="C9" s="104">
        <f>GETPIVOTDATA("Suma de COMPROMISO",CRIS!$A$3,"CM - A","C11")</f>
        <v>6950102990.96</v>
      </c>
      <c r="D9" s="104">
        <f>GETPIVOTDATA("Suma de OBLIGACION",CRIS!$A$3,"CM - A","C11")</f>
        <v>806853426.82000005</v>
      </c>
      <c r="E9" s="104">
        <f>+B9-C9</f>
        <v>16309715594.040001</v>
      </c>
      <c r="F9" s="106">
        <f>+C9/B9</f>
        <v>0.29880297499147496</v>
      </c>
      <c r="G9" s="110">
        <f>+D9/B9</f>
        <v>3.4688723984301874E-2</v>
      </c>
    </row>
    <row r="10" spans="1:12" ht="57.75" thickBot="1">
      <c r="A10" s="93" t="s">
        <v>200</v>
      </c>
      <c r="B10" s="104">
        <f>GETPIVOTDATA("Suma de APR. VIGENTE",CRIS!$A$3,"CM - A","C12")</f>
        <v>2721604127</v>
      </c>
      <c r="C10" s="104">
        <f>GETPIVOTDATA("Suma de COMPROMISO",CRIS!$A$3,"CM - A","C12")</f>
        <v>97069092.159999996</v>
      </c>
      <c r="D10" s="104">
        <f>GETPIVOTDATA("Suma de OBLIGACION",CRIS!$A$3,"CM - A","C12")</f>
        <v>37175527.420000002</v>
      </c>
      <c r="E10" s="104">
        <f>+B10-C10</f>
        <v>2624535034.8400002</v>
      </c>
      <c r="F10" s="106">
        <f>+C10/B10</f>
        <v>3.5666132042134431E-2</v>
      </c>
      <c r="G10" s="110">
        <f>+D10/B10</f>
        <v>1.365941763947068E-2</v>
      </c>
    </row>
    <row r="11" spans="1:12" ht="37.5" customHeight="1" thickBot="1">
      <c r="A11" s="94" t="s">
        <v>120</v>
      </c>
      <c r="B11" s="102">
        <f>+B6+B8</f>
        <v>30696200000</v>
      </c>
      <c r="C11" s="102">
        <f>+C6+C8</f>
        <v>11494413333.950001</v>
      </c>
      <c r="D11" s="102">
        <f>+D6+D8</f>
        <v>1214585604.3699999</v>
      </c>
      <c r="E11" s="102">
        <f>+E6+E8</f>
        <v>19201786666.050003</v>
      </c>
      <c r="F11" s="108">
        <f>+C11/B11</f>
        <v>0.37445720753546047</v>
      </c>
      <c r="G11" s="109">
        <f>+D11/B11</f>
        <v>3.956794666343065E-2</v>
      </c>
    </row>
    <row r="12" spans="1:12" ht="24">
      <c r="A12" s="120" t="s">
        <v>121</v>
      </c>
      <c r="B12" s="121"/>
      <c r="C12" s="121"/>
      <c r="D12" s="121"/>
      <c r="E12" s="121"/>
      <c r="F12" s="121"/>
      <c r="G12" s="121"/>
    </row>
    <row r="13" spans="1:12" ht="31.5">
      <c r="A13" s="86" t="s">
        <v>122</v>
      </c>
      <c r="B13" s="87" t="s">
        <v>108</v>
      </c>
      <c r="C13" s="87" t="s">
        <v>109</v>
      </c>
      <c r="D13" s="87" t="s">
        <v>110</v>
      </c>
      <c r="E13" s="87" t="s">
        <v>111</v>
      </c>
      <c r="F13" s="88" t="s">
        <v>112</v>
      </c>
      <c r="G13" s="89" t="s">
        <v>113</v>
      </c>
    </row>
    <row r="14" spans="1:12" ht="15.75">
      <c r="A14" s="86"/>
      <c r="B14" s="87">
        <v>-1</v>
      </c>
      <c r="C14" s="87">
        <v>-2</v>
      </c>
      <c r="D14" s="87">
        <v>-3</v>
      </c>
      <c r="E14" s="87" t="s">
        <v>114</v>
      </c>
      <c r="F14" s="88" t="s">
        <v>115</v>
      </c>
      <c r="G14" s="89" t="s">
        <v>116</v>
      </c>
    </row>
    <row r="15" spans="1:12" ht="24">
      <c r="A15" s="95" t="s">
        <v>123</v>
      </c>
      <c r="B15" s="111">
        <f>SUM(B16:B20)</f>
        <v>194184002000</v>
      </c>
      <c r="C15" s="111">
        <f>SUM(C16:C20)</f>
        <v>41875503329.770004</v>
      </c>
      <c r="D15" s="111">
        <f>SUM(D16:D20)</f>
        <v>30257775113.290001</v>
      </c>
      <c r="E15" s="111">
        <f>SUM(E16:E20)</f>
        <v>152308498670.23001</v>
      </c>
      <c r="F15" s="112">
        <f t="shared" ref="F15:F21" si="1">+C15/B15</f>
        <v>0.21564857505496257</v>
      </c>
      <c r="G15" s="113">
        <f t="shared" ref="G15:G21" si="2">+D15/B15</f>
        <v>0.15582012319063235</v>
      </c>
    </row>
    <row r="16" spans="1:12" ht="23.25">
      <c r="A16" s="96" t="s">
        <v>124</v>
      </c>
      <c r="B16" s="114">
        <f>GETPIVOTDATA("Suma de APR. VIGENTE",CRIS!$A$3,"CM - A","A01")</f>
        <v>127696699000</v>
      </c>
      <c r="C16" s="114">
        <f>GETPIVOTDATA("Suma de COMPROMISO",CRIS!$A$3,"CM - A","A01")</f>
        <v>22006166783</v>
      </c>
      <c r="D16" s="114">
        <f>GETPIVOTDATA("Suma de OBLIGACION",CRIS!$A$3,"CM - A","A01")</f>
        <v>21915860954.27</v>
      </c>
      <c r="E16" s="104">
        <f>+B16-C16</f>
        <v>105690532217</v>
      </c>
      <c r="F16" s="106">
        <f t="shared" si="1"/>
        <v>0.17233152427064696</v>
      </c>
      <c r="G16" s="110">
        <f t="shared" si="2"/>
        <v>0.17162433426936119</v>
      </c>
    </row>
    <row r="17" spans="1:7" ht="23.25">
      <c r="A17" s="96" t="s">
        <v>125</v>
      </c>
      <c r="B17" s="114">
        <f>GETPIVOTDATA("Suma de APR. VIGENTE",CRIS!$A$3,"CM - A","A02")</f>
        <v>17932167000</v>
      </c>
      <c r="C17" s="114">
        <f>GETPIVOTDATA("Suma de COMPROMISO",CRIS!$A$3,"CM - A","A02")</f>
        <v>14722208419.9</v>
      </c>
      <c r="D17" s="114">
        <f>GETPIVOTDATA("Suma de OBLIGACION",CRIS!$A$3,"CM - A","A02")</f>
        <v>3302803213.1500001</v>
      </c>
      <c r="E17" s="104">
        <f>+B17-C17</f>
        <v>3209958580.1000004</v>
      </c>
      <c r="F17" s="106">
        <f t="shared" si="1"/>
        <v>0.82099438511251877</v>
      </c>
      <c r="G17" s="110">
        <f t="shared" si="2"/>
        <v>0.18418316164186962</v>
      </c>
    </row>
    <row r="18" spans="1:7" ht="23.25">
      <c r="A18" s="96" t="s">
        <v>126</v>
      </c>
      <c r="B18" s="114">
        <f>GETPIVOTDATA("Suma de APR. VIGENTE",CRIS!$A$3,"CM - A","A03")</f>
        <v>44289505000</v>
      </c>
      <c r="C18" s="114">
        <f>GETPIVOTDATA("Suma de COMPROMISO",CRIS!$A$3,"CM - A","A03")</f>
        <v>4837153859.8699999</v>
      </c>
      <c r="D18" s="114">
        <f>GETPIVOTDATA("Suma de OBLIGACION",CRIS!$A$3,"CM - A","A03")</f>
        <v>4751483859.8699999</v>
      </c>
      <c r="E18" s="104">
        <f>+B18-C18</f>
        <v>39452351140.129997</v>
      </c>
      <c r="F18" s="106">
        <f t="shared" si="1"/>
        <v>0.10921670630254278</v>
      </c>
      <c r="G18" s="110">
        <f t="shared" si="2"/>
        <v>0.10728238800298175</v>
      </c>
    </row>
    <row r="19" spans="1:7" ht="23.25">
      <c r="A19" s="96" t="s">
        <v>127</v>
      </c>
      <c r="B19" s="114">
        <f>GETPIVOTDATA("Suma de APR. VIGENTE",CRIS!$A$3,"CM - A","A06")</f>
        <v>3497000000</v>
      </c>
      <c r="C19" s="114">
        <f>GETPIVOTDATA("Suma de COMPROMISO",CRIS!$A$3,"CM - A","A06")</f>
        <v>371080</v>
      </c>
      <c r="D19" s="114">
        <f>GETPIVOTDATA("Suma de OBLIGACION",CRIS!$A$3,"CM - A","A06")</f>
        <v>371080</v>
      </c>
      <c r="E19" s="104">
        <f>+B19-C19</f>
        <v>3496628920</v>
      </c>
      <c r="F19" s="106">
        <f t="shared" si="1"/>
        <v>1.061138118387189E-4</v>
      </c>
      <c r="G19" s="110">
        <f t="shared" si="2"/>
        <v>1.061138118387189E-4</v>
      </c>
    </row>
    <row r="20" spans="1:7" ht="24" thickBot="1">
      <c r="A20" s="96" t="s">
        <v>128</v>
      </c>
      <c r="B20" s="114">
        <f>GETPIVOTDATA("Suma de APR. VIGENTE",CRIS!$A$3,"CM - A","A08")</f>
        <v>768631000</v>
      </c>
      <c r="C20" s="114">
        <f>GETPIVOTDATA("Suma de COMPROMISO",CRIS!$A$3,"CM - A","A08")</f>
        <v>309603187</v>
      </c>
      <c r="D20" s="114">
        <f>GETPIVOTDATA("Suma de OBLIGACION",CRIS!$A$3,"CM - A","A08")</f>
        <v>287256006</v>
      </c>
      <c r="E20" s="104">
        <f>+B20-C20</f>
        <v>459027813</v>
      </c>
      <c r="F20" s="106">
        <f t="shared" si="1"/>
        <v>0.40279820486032958</v>
      </c>
      <c r="G20" s="110">
        <f t="shared" si="2"/>
        <v>0.37372420055917599</v>
      </c>
    </row>
    <row r="21" spans="1:7" ht="21" thickBot="1">
      <c r="A21" s="97" t="s">
        <v>129</v>
      </c>
      <c r="B21" s="115">
        <f>SUM(B16:B20)</f>
        <v>194184002000</v>
      </c>
      <c r="C21" s="115">
        <f>SUM(C16:C20)</f>
        <v>41875503329.770004</v>
      </c>
      <c r="D21" s="115">
        <f>SUM(D16:D20)</f>
        <v>30257775113.290001</v>
      </c>
      <c r="E21" s="115">
        <f>SUM(E16:E20)</f>
        <v>152308498670.23001</v>
      </c>
      <c r="F21" s="116">
        <f t="shared" si="1"/>
        <v>0.21564857505496257</v>
      </c>
      <c r="G21" s="116">
        <f t="shared" si="2"/>
        <v>0.15582012319063235</v>
      </c>
    </row>
    <row r="22" spans="1:7" ht="21" thickBot="1">
      <c r="A22" s="98"/>
      <c r="B22" s="117"/>
      <c r="C22" s="117"/>
      <c r="D22" s="117"/>
      <c r="E22" s="117"/>
      <c r="F22" s="118"/>
      <c r="G22" s="119"/>
    </row>
    <row r="23" spans="1:7" ht="21" thickBot="1">
      <c r="A23" s="97" t="s">
        <v>130</v>
      </c>
      <c r="B23" s="115">
        <f>+B21+B11</f>
        <v>224880202000</v>
      </c>
      <c r="C23" s="115">
        <f>+C21+C11</f>
        <v>53369916663.720001</v>
      </c>
      <c r="D23" s="115">
        <f>+D21+D11</f>
        <v>31472360717.66</v>
      </c>
      <c r="E23" s="115">
        <f>+E21+E11</f>
        <v>171510285336.28003</v>
      </c>
      <c r="F23" s="116">
        <f>+C23/B23</f>
        <v>0.23732599041208616</v>
      </c>
      <c r="G23" s="116">
        <f>+D23/B23</f>
        <v>0.13995167399244865</v>
      </c>
    </row>
    <row r="30" spans="1:7">
      <c r="F30" s="100"/>
    </row>
    <row r="31" spans="1:7">
      <c r="F31" s="101"/>
    </row>
  </sheetData>
  <sheetProtection algorithmName="SHA-512" hashValue="4JSYxGdvpzlYJ77MeH7B2japjw2ednE+OcSzK0sngggcX91UJyzVc7u7Lniadg/EWE1VIbTuqBzA0vKlCWmoog==" saltValue="OJ+yxViNZUDM0mPMtl2jH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81" t="s">
        <v>158</v>
      </c>
      <c r="B3" s="20" t="s">
        <v>149</v>
      </c>
      <c r="C3" s="20" t="s">
        <v>150</v>
      </c>
      <c r="D3" s="20" t="s">
        <v>151</v>
      </c>
    </row>
    <row r="4" spans="1:7">
      <c r="A4" s="82"/>
      <c r="B4" s="83"/>
      <c r="C4" s="83"/>
      <c r="D4" s="83"/>
    </row>
    <row r="5" spans="1:7">
      <c r="A5" s="82" t="s">
        <v>137</v>
      </c>
      <c r="B5" s="83">
        <v>127696699000</v>
      </c>
      <c r="C5" s="83">
        <v>22006166783</v>
      </c>
      <c r="D5" s="83">
        <v>21915860954.27</v>
      </c>
    </row>
    <row r="6" spans="1:7">
      <c r="A6" s="82" t="s">
        <v>138</v>
      </c>
      <c r="B6" s="83">
        <v>17932167000</v>
      </c>
      <c r="C6" s="83">
        <v>14722208419.9</v>
      </c>
      <c r="D6" s="83">
        <v>3302803213.1500001</v>
      </c>
    </row>
    <row r="7" spans="1:7">
      <c r="A7" s="82" t="s">
        <v>139</v>
      </c>
      <c r="B7" s="83">
        <v>44289505000</v>
      </c>
      <c r="C7" s="83">
        <v>4837153859.8699999</v>
      </c>
      <c r="D7" s="83">
        <v>4751483859.8699999</v>
      </c>
    </row>
    <row r="8" spans="1:7">
      <c r="A8" s="82" t="s">
        <v>140</v>
      </c>
      <c r="B8" s="83">
        <v>3497000000</v>
      </c>
      <c r="C8" s="83">
        <v>371080</v>
      </c>
      <c r="D8" s="83">
        <v>371080</v>
      </c>
    </row>
    <row r="9" spans="1:7">
      <c r="A9" s="82" t="s">
        <v>143</v>
      </c>
      <c r="B9" s="83">
        <v>768631000</v>
      </c>
      <c r="C9" s="83">
        <v>309603187</v>
      </c>
      <c r="D9" s="83">
        <v>287256006</v>
      </c>
    </row>
    <row r="10" spans="1:7" ht="15.75">
      <c r="A10" s="82" t="s">
        <v>155</v>
      </c>
      <c r="B10" s="83">
        <v>23259818585</v>
      </c>
      <c r="C10" s="83">
        <v>6950102990.96</v>
      </c>
      <c r="D10" s="83">
        <v>806853426.82000005</v>
      </c>
      <c r="G10" s="14"/>
    </row>
    <row r="11" spans="1:7">
      <c r="A11" s="82" t="s">
        <v>156</v>
      </c>
      <c r="B11" s="83">
        <v>2721604127</v>
      </c>
      <c r="C11" s="83">
        <v>97069092.159999996</v>
      </c>
      <c r="D11" s="83">
        <v>37175527.420000002</v>
      </c>
    </row>
    <row r="12" spans="1:7">
      <c r="A12" s="82" t="s">
        <v>154</v>
      </c>
      <c r="B12" s="83">
        <v>4714777288</v>
      </c>
      <c r="C12" s="83">
        <v>4447241250.8299999</v>
      </c>
      <c r="D12" s="83">
        <v>370556650.13</v>
      </c>
    </row>
    <row r="13" spans="1:7">
      <c r="A13" s="82" t="s">
        <v>148</v>
      </c>
      <c r="B13" s="83">
        <v>224880202000</v>
      </c>
      <c r="C13" s="83">
        <v>53369916663.720009</v>
      </c>
      <c r="D13" s="83">
        <v>31472360717.66</v>
      </c>
    </row>
    <row r="14" spans="1:7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8" activePane="bottomLeft" state="frozen"/>
      <selection activeCell="B1" sqref="B1"/>
      <selection pane="bottomLeft" activeCell="H35" sqref="H35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31" width="13.6640625" style="20" customWidth="1"/>
    <col min="32" max="32" width="6.77734375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0</v>
      </c>
      <c r="T2" s="18">
        <v>0</v>
      </c>
      <c r="U2" s="19">
        <v>72773990000</v>
      </c>
      <c r="V2" s="18">
        <v>0</v>
      </c>
      <c r="W2" s="18">
        <v>72773990000</v>
      </c>
      <c r="X2" s="18">
        <v>0</v>
      </c>
      <c r="Y2" s="18">
        <v>15682728074</v>
      </c>
      <c r="Z2" s="18">
        <v>15600578838.27</v>
      </c>
      <c r="AA2" s="18">
        <v>15600578838.27</v>
      </c>
      <c r="AB2" s="18">
        <v>15598397061.27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4534057582</v>
      </c>
      <c r="Z3" s="18">
        <v>4534057582</v>
      </c>
      <c r="AA3" s="18">
        <v>4092517160</v>
      </c>
      <c r="AB3" s="18">
        <v>4092517160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0</v>
      </c>
      <c r="T4" s="18">
        <v>0</v>
      </c>
      <c r="U4" s="19">
        <v>18628192000</v>
      </c>
      <c r="V4" s="18">
        <v>0</v>
      </c>
      <c r="W4" s="18">
        <v>18628192000</v>
      </c>
      <c r="X4" s="18">
        <v>0</v>
      </c>
      <c r="Y4" s="18">
        <v>1768786249</v>
      </c>
      <c r="Z4" s="18">
        <v>1760629656</v>
      </c>
      <c r="AA4" s="18">
        <v>1760629656</v>
      </c>
      <c r="AB4" s="18">
        <v>1758516414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15435420</v>
      </c>
      <c r="Z6" s="18">
        <v>15435420</v>
      </c>
      <c r="AA6" s="18">
        <v>15435420</v>
      </c>
      <c r="AB6" s="18">
        <v>15435420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4437062</v>
      </c>
      <c r="Z7" s="18">
        <v>4437062</v>
      </c>
      <c r="AA7" s="18">
        <v>4057632</v>
      </c>
      <c r="AB7" s="18">
        <v>4057632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722396</v>
      </c>
      <c r="Z8" s="18">
        <v>722396</v>
      </c>
      <c r="AA8" s="18">
        <v>722396</v>
      </c>
      <c r="AB8" s="18">
        <v>722396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0</v>
      </c>
      <c r="T9" s="18">
        <v>0</v>
      </c>
      <c r="U9" s="18">
        <v>17932167000</v>
      </c>
      <c r="V9" s="18">
        <v>0</v>
      </c>
      <c r="W9" s="18">
        <v>17203198811.669998</v>
      </c>
      <c r="X9" s="18">
        <v>728968188.33000004</v>
      </c>
      <c r="Y9" s="18">
        <v>14722208419.9</v>
      </c>
      <c r="Z9" s="18">
        <v>3302803213.1500001</v>
      </c>
      <c r="AA9" s="18">
        <v>3066165743.8200002</v>
      </c>
      <c r="AB9" s="18">
        <v>3066165743.8200002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0</v>
      </c>
      <c r="U10" s="18">
        <v>18090000000</v>
      </c>
      <c r="V10" s="18">
        <v>6030773600</v>
      </c>
      <c r="W10" s="18">
        <v>12059226400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8555370</v>
      </c>
      <c r="X11" s="18">
        <v>439944630</v>
      </c>
      <c r="Y11" s="18">
        <v>6102062</v>
      </c>
      <c r="Z11" s="18">
        <v>6102062</v>
      </c>
      <c r="AA11" s="18">
        <v>6102062</v>
      </c>
      <c r="AB11" s="18">
        <v>6102062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0</v>
      </c>
      <c r="X12" s="18">
        <v>487405000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104222217</v>
      </c>
      <c r="Z13" s="18">
        <v>104222217</v>
      </c>
      <c r="AA13" s="18">
        <v>104222217</v>
      </c>
      <c r="AB13" s="18">
        <v>104222217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510928635</v>
      </c>
      <c r="X15" s="18">
        <v>2533071365</v>
      </c>
      <c r="Y15" s="18">
        <v>510928635</v>
      </c>
      <c r="Z15" s="18">
        <v>510928635</v>
      </c>
      <c r="AA15" s="18">
        <v>510928635</v>
      </c>
      <c r="AB15" s="18">
        <v>510928635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2630166650.75</v>
      </c>
      <c r="X16" s="18">
        <v>11799433349.25</v>
      </c>
      <c r="Y16" s="18">
        <v>2630166650.75</v>
      </c>
      <c r="Z16" s="18">
        <v>2630166650.75</v>
      </c>
      <c r="AA16" s="18">
        <v>2630166650.75</v>
      </c>
      <c r="AB16" s="18">
        <v>2630166650.75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500000000</v>
      </c>
      <c r="X17" s="18">
        <v>2500000000</v>
      </c>
      <c r="Y17" s="18">
        <v>222686017</v>
      </c>
      <c r="Z17" s="18">
        <v>222686017</v>
      </c>
      <c r="AA17" s="18">
        <v>222686017</v>
      </c>
      <c r="AB17" s="18">
        <v>222686017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1363048278.1199999</v>
      </c>
      <c r="Z18" s="18">
        <v>1277378278.1199999</v>
      </c>
      <c r="AA18" s="18">
        <v>1149998278.1199999</v>
      </c>
      <c r="AB18" s="18">
        <v>1149998278.1199999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371080</v>
      </c>
      <c r="Z19" s="18">
        <v>371080</v>
      </c>
      <c r="AA19" s="18">
        <v>136993</v>
      </c>
      <c r="AB19" s="18">
        <v>136993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309603187</v>
      </c>
      <c r="X20" s="18">
        <v>5127813</v>
      </c>
      <c r="Y20" s="18">
        <v>309603187</v>
      </c>
      <c r="Z20" s="18">
        <v>287256006</v>
      </c>
      <c r="AA20" s="18">
        <v>287256006</v>
      </c>
      <c r="AB20" s="18">
        <v>287256006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4559011255.3299999</v>
      </c>
      <c r="X22" s="18">
        <v>155766032.66999999</v>
      </c>
      <c r="Y22" s="18">
        <v>4447241250.8299999</v>
      </c>
      <c r="Z22" s="18">
        <v>370556650.13</v>
      </c>
      <c r="AA22" s="18">
        <v>339653018.13</v>
      </c>
      <c r="AB22" s="18">
        <v>339653018.13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10776157125</v>
      </c>
      <c r="X23" s="18">
        <v>12483661460</v>
      </c>
      <c r="Y23" s="18">
        <v>6950102990.96</v>
      </c>
      <c r="Z23" s="18">
        <v>806853426.82000005</v>
      </c>
      <c r="AA23" s="18">
        <v>480829426.81999999</v>
      </c>
      <c r="AB23" s="18">
        <v>480829426.81999999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301631955.16000003</v>
      </c>
      <c r="X24" s="18">
        <v>2419972171.8400002</v>
      </c>
      <c r="Y24" s="18">
        <v>97069092.159999996</v>
      </c>
      <c r="Z24" s="18">
        <v>37175527.420000002</v>
      </c>
      <c r="AA24" s="18">
        <v>5858333</v>
      </c>
      <c r="AB24" s="18">
        <v>5858333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22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147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152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153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162</v>
      </c>
      <c r="B116" s="16"/>
      <c r="C116" s="15"/>
      <c r="D116" s="17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5"/>
      <c r="R116" s="18"/>
      <c r="S116" s="18"/>
      <c r="T116" s="18"/>
      <c r="U116" s="19"/>
      <c r="V116" s="18"/>
      <c r="W116" s="18"/>
      <c r="X116" s="18"/>
      <c r="Y116" s="18"/>
      <c r="Z116" s="18"/>
      <c r="AA116" s="18"/>
      <c r="AB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163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9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164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9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 ht="22.5">
      <c r="A185" s="15" t="s">
        <v>165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9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166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9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 ht="22.5">
      <c r="A231" s="15" t="s">
        <v>167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9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168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9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 ht="18.75" customHeight="1">
      <c r="AF282" t="str">
        <f>IF(Super[[#This Row],[TIPO]]="A",CONCATENATE(Super[[#This Row],[TIPO]],Super[[#This Row],[CTA]]),CONCATENATE(Super[[#This Row],[TIPO]],Super[[#This Row],[OBJ]]))</f>
        <v/>
      </c>
    </row>
    <row r="283" spans="1:32"/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3" t="s">
        <v>169</v>
      </c>
      <c r="B2" s="123"/>
      <c r="C2" s="123"/>
      <c r="D2" s="123"/>
      <c r="E2" s="123"/>
      <c r="F2" s="123"/>
      <c r="G2" s="123"/>
      <c r="H2" s="123"/>
      <c r="I2" s="123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41875503329.770004</v>
      </c>
      <c r="C4" t="s">
        <v>145</v>
      </c>
      <c r="D4" s="13">
        <f t="shared" ref="D4:D15" si="0">B4</f>
        <v>41875503329.770004</v>
      </c>
      <c r="F4" s="78" t="s">
        <v>145</v>
      </c>
      <c r="G4" s="13">
        <v>30257775113.290001</v>
      </c>
      <c r="H4" t="s">
        <v>145</v>
      </c>
      <c r="I4" s="13">
        <f t="shared" ref="I4:I15" si="1">G4</f>
        <v>30257775113.290001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0.21564857505496257</v>
      </c>
      <c r="Q4" s="72">
        <f t="shared" ref="Q4:Q15" si="5">+I4/N4</f>
        <v>0.15582012319063235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 s="128">
        <v>41875503329.770004</v>
      </c>
      <c r="F17" s="78" t="s">
        <v>148</v>
      </c>
      <c r="G17" s="128">
        <v>30257775113.290001</v>
      </c>
      <c r="K17" s="78" t="s">
        <v>148</v>
      </c>
      <c r="L17" s="128">
        <v>194184002000</v>
      </c>
    </row>
    <row r="21" spans="1:18">
      <c r="A21" s="123" t="s">
        <v>189</v>
      </c>
      <c r="B21" s="123"/>
      <c r="C21" s="123"/>
      <c r="D21" s="123"/>
      <c r="E21" s="123"/>
      <c r="F21" s="123"/>
      <c r="G21" s="123"/>
      <c r="H21" s="123"/>
      <c r="I21" s="123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11494413333.950001</v>
      </c>
      <c r="C23" t="str">
        <f t="shared" ref="C23:C34" si="6">A23</f>
        <v>Enero</v>
      </c>
      <c r="D23" s="13">
        <f t="shared" ref="D23:D34" si="7">B23</f>
        <v>11494413333.950001</v>
      </c>
      <c r="F23" s="78" t="s">
        <v>145</v>
      </c>
      <c r="G23" s="13">
        <v>1214585604.3700001</v>
      </c>
      <c r="H23" t="str">
        <f t="shared" ref="H23:H34" si="8">F23</f>
        <v>Enero</v>
      </c>
      <c r="I23" s="13">
        <f t="shared" ref="I23:I34" si="9">G23</f>
        <v>1214585604.3700001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0.37445720753546047</v>
      </c>
      <c r="Q23" s="72">
        <f t="shared" ref="Q23:Q34" si="13">+I23/N23</f>
        <v>3.9567946663430657E-2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 s="128">
        <v>11494413333.950001</v>
      </c>
      <c r="F36" s="78" t="s">
        <v>148</v>
      </c>
      <c r="G36" s="128">
        <v>1214585604.3700001</v>
      </c>
      <c r="K36" s="78" t="s">
        <v>148</v>
      </c>
      <c r="L36" s="128">
        <v>30696200000</v>
      </c>
    </row>
    <row r="39" spans="1:18">
      <c r="B39" s="124" t="s">
        <v>182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53369916663.720009</v>
      </c>
      <c r="E42" s="13">
        <v>31472360717.66</v>
      </c>
      <c r="F42" t="str">
        <f t="shared" ref="F42:F53" si="14">B42</f>
        <v>Enero</v>
      </c>
      <c r="G42" s="72">
        <f>+GETPIVOTDATA("SCOMPROMISO",$B$41,"Mes","Enero")/GETPIVOTDATA(" APR. VIGENTE",$B$41,"Mes","Enero")</f>
        <v>0.23732599041208621</v>
      </c>
      <c r="H42" s="72">
        <f>+GETPIVOTDATA("SOBLIGACION",$B$41,"Mes","Enero")/GETPIVOTDATA(" APR. VIGENTE",$B$41,"Mes","Enero")</f>
        <v>0.13995167399244865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 s="128">
        <v>224880202000</v>
      </c>
      <c r="D55" s="128">
        <v>53369916663.720009</v>
      </c>
      <c r="E55" s="128">
        <v>31472360717.66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6" t="s">
        <v>122</v>
      </c>
      <c r="D59" s="127"/>
      <c r="E59" s="127"/>
      <c r="F59" s="127"/>
      <c r="G59" s="127"/>
      <c r="H59" s="127"/>
      <c r="I59" s="127"/>
      <c r="J59" s="127"/>
      <c r="K59" s="127"/>
      <c r="L59" s="127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0.21564857505496257</v>
      </c>
      <c r="L61" s="35">
        <f>'BASE OBL-COM'!Q4</f>
        <v>0.15582012319063235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6" t="s">
        <v>185</v>
      </c>
      <c r="D74" s="127"/>
      <c r="E74" s="127"/>
      <c r="F74" s="127"/>
      <c r="G74" s="127"/>
      <c r="H74" s="127"/>
      <c r="I74" s="127"/>
      <c r="J74" s="127"/>
      <c r="K74" s="127"/>
      <c r="L74" s="127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0.37445720753546047</v>
      </c>
      <c r="L76" s="76">
        <f>'BASE OBL-COM'!Q23</f>
        <v>3.9567946663430657E-2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0.37445720753546047</v>
      </c>
      <c r="F88" s="64">
        <f>+Ejecucion!D11/Ejecucion!B11</f>
        <v>3.956794666343065E-2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5" t="s">
        <v>182</v>
      </c>
      <c r="D90" s="125"/>
      <c r="E90" s="125"/>
      <c r="F90" s="125"/>
      <c r="G90" s="125"/>
      <c r="H90" s="125"/>
      <c r="I90" s="125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0.23732599041208621</v>
      </c>
      <c r="L92" s="76">
        <f>'BASE OBL-COM'!H42</f>
        <v>0.13995167399244865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2025-04-16T15:08:09Z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