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4. Abril/"/>
    </mc:Choice>
  </mc:AlternateContent>
  <xr:revisionPtr revIDLastSave="0" documentId="14_{DF2CB7C9-3082-425F-86A1-E163F612B9BC}" xr6:coauthVersionLast="47" xr6:coauthVersionMax="47" xr10:uidLastSave="{00000000-0000-0000-0000-000000000000}"/>
  <workbookProtection workbookAlgorithmName="SHA-512" workbookHashValue="bjEMwnWWN69n1v0Mp7JTXv442xmkt2yg7iIFPwSj8lTXHfPt9wqmrLRkLFk22+m6VfIvrmJITKy35qjY6xdiHg==" workbookSaltValue="oi3ShkO5BFQZsGFinBpVuQ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0" r:id="rId8"/>
    <pivotCache cacheId="1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53" i="32"/>
  <c r="H43" i="32"/>
  <c r="H49" i="32"/>
  <c r="D18" i="2"/>
  <c r="H48" i="32"/>
  <c r="H52" i="32"/>
  <c r="C18" i="2"/>
  <c r="D10" i="2"/>
  <c r="D20" i="2"/>
  <c r="H51" i="32"/>
  <c r="G51" i="32"/>
  <c r="B9" i="2"/>
  <c r="G46" i="32"/>
  <c r="D9" i="2"/>
  <c r="D17" i="2"/>
  <c r="H47" i="32"/>
  <c r="B16" i="2"/>
  <c r="G47" i="32"/>
  <c r="G44" i="32"/>
  <c r="C16" i="2"/>
  <c r="H44" i="32"/>
  <c r="C9" i="2"/>
  <c r="B18" i="2"/>
  <c r="C7" i="2"/>
  <c r="H50" i="32"/>
  <c r="D19" i="2"/>
  <c r="C17" i="2"/>
  <c r="B17" i="2"/>
  <c r="G50" i="32"/>
  <c r="D16" i="2"/>
  <c r="G49" i="32"/>
  <c r="H42" i="32"/>
  <c r="G52" i="32"/>
  <c r="B20" i="2"/>
  <c r="C19" i="2"/>
  <c r="B10" i="2"/>
  <c r="B19" i="2"/>
  <c r="G43" i="32"/>
  <c r="G42" i="32"/>
  <c r="H53" i="32"/>
  <c r="C20" i="2"/>
  <c r="C10" i="2"/>
  <c r="G48" i="32"/>
  <c r="H46" i="32"/>
  <c r="G45" i="32"/>
  <c r="H45" i="32"/>
  <c r="D7" i="2"/>
  <c r="B7" i="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3" i="11"/>
  <c r="H92" i="11" a="1"/>
  <c r="H92" i="11" s="1"/>
  <c r="D92" i="11" a="1"/>
  <c r="D92" i="11" s="1"/>
  <c r="I76" i="11" a="1"/>
  <c r="I76" i="11" s="1"/>
  <c r="I83" i="11"/>
  <c r="H76" i="11" a="1"/>
  <c r="H76" i="11" s="1"/>
  <c r="H82" i="11"/>
  <c r="H84" i="11"/>
  <c r="F76" i="11" a="1"/>
  <c r="F76" i="11" s="1"/>
  <c r="E76" i="11" a="1"/>
  <c r="E77" i="11" s="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70" i="11" l="1"/>
  <c r="H103" i="11"/>
  <c r="H102" i="11"/>
  <c r="E86" i="11"/>
  <c r="H101" i="11"/>
  <c r="E85" i="11"/>
  <c r="H100" i="11"/>
  <c r="E84" i="11"/>
  <c r="H99" i="11"/>
  <c r="E83" i="11"/>
  <c r="H98" i="11"/>
  <c r="E82" i="11"/>
  <c r="H97" i="11"/>
  <c r="I102" i="11"/>
  <c r="I101" i="11"/>
  <c r="I100" i="11"/>
  <c r="I99" i="11"/>
  <c r="E81" i="11"/>
  <c r="E80" i="11"/>
  <c r="E79" i="11"/>
  <c r="H86" i="11"/>
  <c r="H85" i="11"/>
  <c r="I98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102" i="11"/>
  <c r="F96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100" i="11" l="1"/>
  <c r="F101" i="11"/>
  <c r="F98" i="11"/>
  <c r="F103" i="11"/>
  <c r="F97" i="11"/>
  <c r="E92" i="1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<sst xmlns="http://schemas.openxmlformats.org/spreadsheetml/2006/main" count="2301" uniqueCount="203">
  <si>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</si>
  <si>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</si>
  <si>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</si>
  <si>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</si>
  <si>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</si>
  <si>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</si>
  <si>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</si>
  <si>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</si>
  <si>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</si>
  <si>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</si>
  <si>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</si>
  <si>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</si>
  <si>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</si>
  <si>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</si>
  <si>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</si>
  <si>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</si>
  <si>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</si>
  <si>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</si>
  <si>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</si>
  <si>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</si>
  <si>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</si>
  <si>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</si>
  <si>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</si>
  <si>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</si>
  <si>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</si>
  <si>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</si>
  <si>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</si>
  <si>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</si>
  <si>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</si>
  <si>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</si>
  <si>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</si>
  <si>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</si>
  <si>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</si>
  <si>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</si>
  <si>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</si>
  <si>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</si>
  <si>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</si>
  <si>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</si>
  <si>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</si>
  <si>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</si>
  <si>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</si>
  <si>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</si>
  <si>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</si>
  <si>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</si>
  <si>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</si>
  <si>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</si>
  <si>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</si>
  <si>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</si>
  <si>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</si>
  <si>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</si>
  <si>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</si>
  <si>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</si>
  <si>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</si>
  <si>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</si>
  <si>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</si>
  <si>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</si>
  <si>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</si>
  <si>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</si>
  <si>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</si>
  <si>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</si>
  <si>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</si>
  <si>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</si>
  <si>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</si>
  <si>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</si>
  <si>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</si>
  <si>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</si>
  <si>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</si>
  <si>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</si>
  <si>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</si>
  <si>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</si>
  <si>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</si>
  <si>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</si>
  <si>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</si>
  <si>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</si>
  <si>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</si>
  <si>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</si>
  <si>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</si>
  <si>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</si>
  <si>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</si>
  <si>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</si>
  <si>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</si>
  <si>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</si>
  <si>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</si>
  <si>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</si>
  <si>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</si>
  <si>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</si>
  <si>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</si>
  <si>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</si>
  <si>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</si>
  <si>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</si>
  <si>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</si>
  <si>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</si>
  <si>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</si>
  <si>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</si>
  <si>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</si>
  <si>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</si>
  <si>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</si>
  <si>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</si>
  <si>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</si>
  <si>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</si>
  <si>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</si>
  <si>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</si>
  <si>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</si>
  <si>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</si>
  <si>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</si>
  <si>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</si>
  <si>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</si>
  <si>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</si>
  <si>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</si>
  <si>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</si>
  <si>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</si>
  <si>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</si>
  <si>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</si>
  <si>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</si>
  <si>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</si>
  <si>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</si>
  <si>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</si>
  <si>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</si>
  <si>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</si>
  <si>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</si>
  <si>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</si>
  <si>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</si>
  <si>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</si>
  <si>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</si>
  <si>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</si>
  <si>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</si>
  <si>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</si>
  <si>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</si>
  <si>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</si>
  <si>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</si>
  <si>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</si>
  <si>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</si>
  <si>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</si>
  <si>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</si>
  <si>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</si>
  <si>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</si>
  <si>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</si>
  <si>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</si>
  <si>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</si>
  <si>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</si>
  <si>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</si>
  <si>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</si>
  <si>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</si>
  <si>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</si>
  <si>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</si>
  <si>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</si>
  <si>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</si>
  <si>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</si>
  <si>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</si>
  <si>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</si>
  <si>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</si>
  <si>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</si>
  <si>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</si>
  <si>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</si>
  <si>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</si>
  <si>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</si>
  <si>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</si>
  <si>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</si>
  <si>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</si>
  <si>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</si>
  <si>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</si>
  <si>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</si>
  <si>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</si>
  <si>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</si>
  <si>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</si>
  <si>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</si>
  <si>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</si>
  <si>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</si>
  <si>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</si>
  <si>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</si>
  <si>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</si>
  <si>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</si>
  <si>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</si>
  <si>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</si>
  <si>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</si>
  <si>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</si>
  <si>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</si>
  <si>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</si>
  <si>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</si>
  <si>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</si>
  <si>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</si>
  <si>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</si>
  <si>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</si>
  <si>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</si>
  <si>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</si>
  <si>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</si>
  <si>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</si>
  <si>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</si>
  <si>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</si>
  <si>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</si>
  <si>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</si>
  <si>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</si>
  <si>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</si>
  <si>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</si>
  <si>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</si>
  <si>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</si>
  <si>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</si>
  <si>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</si>
  <si>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</si>
  <si>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</si>
  <si>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</si>
  <si>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</si>
  <si>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 xml:space="preserve">EJECUCIÓN PRESUPUESTAL MAYO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</si>
</sst>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8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3" fillId="7" borderId="6" xfId="0" applyFont="1" applyFill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left" vertical="center" wrapText="1" readingOrder="1"/>
    </xf>
    <xf numFmtId="0" fontId="25" fillId="0" borderId="6" xfId="0" applyFont="1" applyBorder="1" applyAlignment="1">
      <alignment vertical="center" wrapText="1" readingOrder="1"/>
    </xf>
    <xf numFmtId="164" fontId="25" fillId="0" borderId="6" xfId="0" applyNumberFormat="1" applyFont="1" applyBorder="1" applyAlignment="1">
      <alignment horizontal="right" vertical="center" wrapText="1" readingOrder="1"/>
    </xf>
    <xf numFmtId="0" fontId="29" fillId="0" borderId="0" xfId="0" applyFont="1" applyAlignment="1">
      <alignment horizontal="center"/>
    </xf>
    <xf numFmtId="0" fontId="27" fillId="0" borderId="0" xfId="0" applyFont="1"/>
    <xf numFmtId="0" fontId="26" fillId="8" borderId="0" xfId="0" applyFont="1" applyFill="1"/>
    <xf numFmtId="0" fontId="28" fillId="0" borderId="6" xfId="0" applyFont="1" applyBorder="1"/>
    <xf numFmtId="9" fontId="28" fillId="0" borderId="6" xfId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30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7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7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1" fillId="8" borderId="0" xfId="0" applyFont="1" applyFill="1"/>
    <xf numFmtId="9" fontId="28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2" fillId="8" borderId="0" xfId="0" applyFont="1" applyFill="1"/>
    <xf numFmtId="168" fontId="28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8" fillId="0" borderId="6" xfId="1" applyFont="1" applyBorder="1" applyAlignment="1">
      <alignment horizontal="right" vertical="center"/>
    </xf>
    <xf numFmtId="0" fontId="28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28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3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5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4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3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99.413473842593" createdVersion="6" refreshedVersion="8" minRefreshableVersion="3" recordCount="282" xr:uid="{00000000-000A-0000-FFFF-FFFF01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40000000" maxValue="72773990000"/>
    </cacheField>
    <cacheField name="APR. ADICIONADA" numFmtId="0">
      <sharedItems containsString="0" containsBlank="1" containsNumber="1" containsInteger="1" minValue="0" maxValue="5734193505"/>
    </cacheField>
    <cacheField name="APR. REDUCIDA" numFmtId="0">
      <sharedItems containsString="0" containsBlank="1" containsNumber="1" containsInteger="1" minValue="0" maxValue="12059226400"/>
    </cacheField>
    <cacheField name="APR. VIGENTE" numFmtId="0">
      <sharedItems containsString="0" containsBlank="1" containsNumber="1" containsInteger="1" minValue="40000000" maxValue="78166550211"/>
    </cacheField>
    <cacheField name="APR BLOQUEADA" numFmtId="0">
      <sharedItems containsString="0" containsBlank="1" containsNumber="1" containsInteger="1" minValue="0" maxValue="7349947000"/>
    </cacheField>
    <cacheField name="CDP" numFmtId="0">
      <sharedItems containsString="0" containsBlank="1" containsNumber="1" minValue="0" maxValue="78166550211"/>
    </cacheField>
    <cacheField name="APR. DISPONIBLE" numFmtId="0">
      <sharedItems containsString="0" containsBlank="1" containsNumber="1" minValue="0" maxValue="12257513059"/>
    </cacheField>
    <cacheField name="COMPROMISO" numFmtId="0">
      <sharedItems containsString="0" containsBlank="1" containsNumber="1" minValue="0" maxValue="21237768137"/>
    </cacheField>
    <cacheField name="OBLIGACION" numFmtId="0">
      <sharedItems containsString="0" containsBlank="1" containsNumber="1" minValue="0" maxValue="21166523666.450001"/>
    </cacheField>
    <cacheField name="ORDEN PAGO" numFmtId="0">
      <sharedItems containsString="0" containsBlank="1" containsNumber="1" minValue="0" maxValue="21166523666.450001"/>
    </cacheField>
    <cacheField name="PAGOS" numFmtId="0">
      <sharedItems containsString="0" containsBlank="1" containsNumber="1" minValue="0" maxValue="21166523666.450001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99.413474421293" createdVersion="6" refreshedVersion="8" minRefreshableVersion="3" recordCount="12" xr:uid="{00000000-000A-0000-FFFF-FFFF00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30691948683426856" maxValue="0.30691948683426856"/>
    </cacheField>
    <cacheField name="ACTUAL-OBLIGADO" numFmtId="168">
      <sharedItems containsMixedTypes="1" containsNumber="1" minValue="0.25112423850989712" maxValue="0.251124238509897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72773990000"/>
    <n v="5392560211"/>
    <n v="0"/>
    <n v="78166550211"/>
    <n v="0"/>
    <n v="78166550211"/>
    <n v="0"/>
    <n v="21237768137"/>
    <n v="21166523666.450001"/>
    <n v="21166523666.450001"/>
    <n v="21166523666.450001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8416726000"/>
    <n v="0"/>
    <n v="0"/>
    <n v="28416726000"/>
    <n v="0"/>
    <n v="28416726000"/>
    <n v="0"/>
    <n v="6165505188"/>
    <n v="6165505188"/>
    <n v="6165505188"/>
    <n v="6165505188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18628192000"/>
    <n v="5734193505"/>
    <n v="0"/>
    <n v="24362385505"/>
    <n v="0"/>
    <n v="24362385505"/>
    <n v="0"/>
    <n v="2525398530"/>
    <n v="2517757375"/>
    <n v="2517757375"/>
    <n v="2517757375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7349947000"/>
    <n v="0"/>
    <n v="0"/>
    <n v="7349947000"/>
    <n v="7349947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312119000"/>
    <n v="0"/>
    <n v="0"/>
    <n v="312119000"/>
    <n v="0"/>
    <n v="312119000"/>
    <n v="0"/>
    <n v="22175867"/>
    <n v="22175867"/>
    <n v="22175867"/>
    <n v="22175867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117704000"/>
    <n v="0"/>
    <n v="0"/>
    <n v="117704000"/>
    <n v="0"/>
    <n v="117704000"/>
    <n v="0"/>
    <n v="5786929"/>
    <n v="5786929"/>
    <n v="5786929"/>
    <n v="5786929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98021000"/>
    <n v="0"/>
    <n v="0"/>
    <n v="98021000"/>
    <n v="0"/>
    <n v="98021000"/>
    <n v="0"/>
    <n v="2678701"/>
    <n v="2678701"/>
    <n v="2678701"/>
    <n v="2678701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7932167000"/>
    <n v="932472684"/>
    <n v="0"/>
    <n v="18864639684"/>
    <n v="0"/>
    <n v="18637165014.889999"/>
    <n v="227474669.11000001"/>
    <n v="15596259748.17"/>
    <n v="4878096981.8999996"/>
    <n v="4705266207.54"/>
    <n v="4705266207.54"/>
    <m/>
    <m/>
    <m/>
    <x v="1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18090000000"/>
    <n v="0"/>
    <n v="12059226400"/>
    <n v="6030773600"/>
    <n v="603077360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48500000"/>
    <n v="0"/>
    <n v="0"/>
    <n v="448500000"/>
    <n v="0"/>
    <n v="11653721.99"/>
    <n v="436846278.00999999"/>
    <n v="11653721.98"/>
    <n v="9701211.4499999993"/>
    <n v="9701211.4499999993"/>
    <n v="9701211.4499999993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87405000"/>
    <n v="0"/>
    <n v="0"/>
    <n v="487405000"/>
    <n v="0"/>
    <n v="0"/>
    <n v="48740500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750000000"/>
    <n v="0"/>
    <n v="0"/>
    <n v="750000000"/>
    <n v="0"/>
    <n v="750000000"/>
    <n v="0"/>
    <n v="147139863"/>
    <n v="147139863"/>
    <n v="147139863"/>
    <n v="147139863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40000000"/>
    <n v="0"/>
    <n v="0"/>
    <n v="40000000"/>
    <n v="0"/>
    <n v="40000000"/>
    <n v="0"/>
    <n v="0"/>
    <n v="0"/>
    <n v="0"/>
    <n v="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000000"/>
    <n v="0"/>
    <n v="0"/>
    <n v="3044000000"/>
    <n v="0"/>
    <n v="1015414680"/>
    <n v="2028585320"/>
    <n v="1015414680"/>
    <n v="764012550"/>
    <n v="764012550"/>
    <n v="764012550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4429600000"/>
    <n v="0"/>
    <n v="0"/>
    <n v="14429600000"/>
    <n v="0"/>
    <n v="3501468473.54"/>
    <n v="10928131526.459999"/>
    <n v="3501468473.54"/>
    <n v="3501468473.54"/>
    <n v="3501468473.54"/>
    <n v="3501468473.54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516749204"/>
    <n v="2483250796"/>
    <n v="406120976"/>
    <n v="406120976"/>
    <n v="401550311"/>
    <n v="401550311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4000000000"/>
    <n v="0"/>
    <n v="0"/>
    <n v="4000000000"/>
    <n v="0"/>
    <n v="4000000000"/>
    <n v="0"/>
    <n v="2014888778.1199999"/>
    <n v="1909406778.1199999"/>
    <n v="1847307278.1199999"/>
    <n v="1847307278.1199999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497000000"/>
    <n v="0"/>
    <n v="0"/>
    <n v="3497000000"/>
    <n v="0"/>
    <n v="3497000000"/>
    <n v="0"/>
    <n v="3269082185"/>
    <n v="741074"/>
    <n v="741074"/>
    <n v="741074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314731000"/>
    <n v="0"/>
    <n v="0"/>
    <n v="314731000"/>
    <n v="0"/>
    <n v="310210987"/>
    <n v="4520013"/>
    <n v="310210987"/>
    <n v="301619806"/>
    <n v="301619806"/>
    <n v="301619806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53900000"/>
    <n v="0"/>
    <n v="0"/>
    <n v="453900000"/>
    <n v="0"/>
    <n v="0"/>
    <n v="453900000"/>
    <n v="0"/>
    <n v="0"/>
    <n v="0"/>
    <n v="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714777288"/>
    <n v="0"/>
    <n v="0"/>
    <n v="4714777288"/>
    <n v="0"/>
    <n v="4601011255.3299999"/>
    <n v="113766032.67"/>
    <n v="4498954250.8299999"/>
    <n v="826713586.13"/>
    <n v="796229386.13"/>
    <n v="796229386.13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3259818585"/>
    <n v="0"/>
    <n v="0"/>
    <n v="23259818585"/>
    <n v="0"/>
    <n v="11002305526"/>
    <n v="12257513059"/>
    <n v="7578793819.96"/>
    <n v="1364813209.1900001"/>
    <n v="1336932253.1900001"/>
    <n v="1336932253.1900001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2721604127"/>
    <n v="0"/>
    <n v="0"/>
    <n v="2721604127"/>
    <n v="0"/>
    <n v="302069092.16000003"/>
    <n v="2419535034.8400002"/>
    <n v="97069092.159999996"/>
    <n v="51609971.420000002"/>
    <n v="51609971.420000002"/>
    <n v="51609971.420000002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0.30691948683426856"/>
    <n v="0.25112423850989712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0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4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7">
      <pivotArea collapsedLevelsAreSubtotals="1" fieldPosition="0">
        <references count="1">
          <reference field="0" count="0"/>
        </references>
      </pivotArea>
    </format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autoFilter ref="A1:AF283" xr:uid="{00000000-0009-0000-0100-000001000000}"/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zoomScale="55" zoomScaleNormal="98" zoomScaleSheetLayoutView="55" workbookViewId="0">
      <selection activeCell="K9" sqref="K9"/>
    </sheetView>
  </sheetViews>
  <sheetFormatPr baseColWidth="10" defaultRowHeight="15"/>
  <cols>
    <col min="1" max="1" width="66.44140625" style="85" customWidth="1"/>
    <col min="2" max="4" width="19.5546875" style="99" customWidth="1"/>
    <col min="5" max="5" width="23.5546875" style="99" customWidth="1"/>
    <col min="6" max="6" width="19.6640625" style="85" customWidth="1"/>
    <col min="7" max="7" width="17.77734375" style="85" customWidth="1"/>
    <col min="8" max="16384" width="11.5546875" style="85"/>
  </cols>
  <sheetData>
    <row r="2" spans="1:12" ht="23.25" customHeight="1">
      <c r="A2" s="122" t="s">
        <v>202</v>
      </c>
      <c r="B2" s="122"/>
      <c r="C2" s="122"/>
      <c r="D2" s="122"/>
      <c r="E2" s="122"/>
      <c r="F2" s="122"/>
      <c r="G2" s="122"/>
      <c r="H2" s="84"/>
      <c r="I2" s="84"/>
      <c r="J2" s="84"/>
      <c r="K2" s="84"/>
      <c r="L2" s="84"/>
    </row>
    <row r="3" spans="1:12" ht="24" customHeight="1">
      <c r="A3" s="121" t="s">
        <v>131</v>
      </c>
      <c r="B3" s="121"/>
      <c r="C3" s="121"/>
      <c r="D3" s="121"/>
      <c r="E3" s="121"/>
      <c r="F3" s="121"/>
      <c r="G3" s="121"/>
    </row>
    <row r="4" spans="1:12" ht="31.5">
      <c r="A4" s="86" t="s">
        <v>107</v>
      </c>
      <c r="B4" s="87" t="s">
        <v>108</v>
      </c>
      <c r="C4" s="87" t="s">
        <v>109</v>
      </c>
      <c r="D4" s="87" t="s">
        <v>110</v>
      </c>
      <c r="E4" s="87" t="s">
        <v>111</v>
      </c>
      <c r="F4" s="88" t="s">
        <v>112</v>
      </c>
      <c r="G4" s="89" t="s">
        <v>113</v>
      </c>
    </row>
    <row r="5" spans="1:12" ht="15.75">
      <c r="A5" s="90"/>
      <c r="B5" s="87">
        <v>-1</v>
      </c>
      <c r="C5" s="87">
        <v>-2</v>
      </c>
      <c r="D5" s="87">
        <v>-3</v>
      </c>
      <c r="E5" s="87" t="s">
        <v>114</v>
      </c>
      <c r="F5" s="88" t="s">
        <v>115</v>
      </c>
      <c r="G5" s="89" t="s">
        <v>116</v>
      </c>
    </row>
    <row r="6" spans="1:12" ht="36">
      <c r="A6" s="91" t="s">
        <v>117</v>
      </c>
      <c r="B6" s="102">
        <f t="shared" ref="B6:G6" si="0">+B7</f>
        <v>4714777288</v>
      </c>
      <c r="C6" s="102">
        <f t="shared" si="0"/>
        <v>4498954250.8299999</v>
      </c>
      <c r="D6" s="102">
        <f t="shared" si="0"/>
        <v>826713586.13</v>
      </c>
      <c r="E6" s="102">
        <f t="shared" si="0"/>
        <v>215823037.17000008</v>
      </c>
      <c r="F6" s="103">
        <f t="shared" si="0"/>
        <v>0.95422412894893027</v>
      </c>
      <c r="G6" s="103">
        <f t="shared" si="0"/>
        <v>0.17534520415930197</v>
      </c>
    </row>
    <row r="7" spans="1:12" ht="57">
      <c r="A7" s="92" t="s">
        <v>118</v>
      </c>
      <c r="B7" s="104">
        <f>GETPIVOTDATA("Suma de APR. VIGENTE",CRIS!$A$3,"CM - A","C3")</f>
        <v>4714777288</v>
      </c>
      <c r="C7" s="104">
        <f>GETPIVOTDATA("Suma de COMPROMISO",CRIS!$A$3,"CM - A","C3")</f>
        <v>4498954250.8299999</v>
      </c>
      <c r="D7" s="104">
        <f>GETPIVOTDATA("Suma de OBLIGACION",CRIS!$A$3,"CM - A","C3")</f>
        <v>826713586.13</v>
      </c>
      <c r="E7" s="105">
        <f>+B7-C7</f>
        <v>215823037.17000008</v>
      </c>
      <c r="F7" s="106">
        <f>+C7/B7</f>
        <v>0.95422412894893027</v>
      </c>
      <c r="G7" s="107">
        <f>+D7/B7</f>
        <v>0.17534520415930197</v>
      </c>
    </row>
    <row r="8" spans="1:12" ht="36">
      <c r="A8" s="91" t="s">
        <v>119</v>
      </c>
      <c r="B8" s="102">
        <f>SUM(B9:B10)</f>
        <v>25981422712</v>
      </c>
      <c r="C8" s="102">
        <f>SUM(C9:C10)</f>
        <v>7675862912.1199999</v>
      </c>
      <c r="D8" s="102">
        <f>SUM(D9:D10)</f>
        <v>1416423180.6100001</v>
      </c>
      <c r="E8" s="102">
        <f>SUM(E9:E10)</f>
        <v>18305559799.880001</v>
      </c>
      <c r="F8" s="108">
        <f>+C8/B8</f>
        <v>0.29543658933560868</v>
      </c>
      <c r="G8" s="109">
        <f>+D8/B8</f>
        <v>5.4516767473083719E-2</v>
      </c>
    </row>
    <row r="9" spans="1:12" ht="57">
      <c r="A9" s="93" t="s">
        <v>201</v>
      </c>
      <c r="B9" s="104">
        <f>GETPIVOTDATA("Suma de APR. VIGENTE",CRIS!$A$3,"CM - A","C11")</f>
        <v>23259818585</v>
      </c>
      <c r="C9" s="104">
        <f>GETPIVOTDATA("Suma de COMPROMISO",CRIS!$A$3,"CM - A","C11")</f>
        <v>7578793819.96</v>
      </c>
      <c r="D9" s="104">
        <f>GETPIVOTDATA("Suma de OBLIGACION",CRIS!$A$3,"CM - A","C11")</f>
        <v>1364813209.1900001</v>
      </c>
      <c r="E9" s="104">
        <f>+B9-C9</f>
        <v>15681024765.040001</v>
      </c>
      <c r="F9" s="106">
        <f>+C9/B9</f>
        <v>0.32583202625868629</v>
      </c>
      <c r="G9" s="110">
        <f>+D9/B9</f>
        <v>5.8676863888790301E-2</v>
      </c>
    </row>
    <row r="10" spans="1:12" ht="57.75" thickBot="1">
      <c r="A10" s="93" t="s">
        <v>200</v>
      </c>
      <c r="B10" s="104">
        <f>GETPIVOTDATA("Suma de APR. VIGENTE",CRIS!$A$3,"CM - A","C12")</f>
        <v>2721604127</v>
      </c>
      <c r="C10" s="104">
        <f>GETPIVOTDATA("Suma de COMPROMISO",CRIS!$A$3,"CM - A","C12")</f>
        <v>97069092.159999996</v>
      </c>
      <c r="D10" s="104">
        <f>GETPIVOTDATA("Suma de OBLIGACION",CRIS!$A$3,"CM - A","C12")</f>
        <v>51609971.420000002</v>
      </c>
      <c r="E10" s="104">
        <f>+B10-C10</f>
        <v>2624535034.8400002</v>
      </c>
      <c r="F10" s="106">
        <f>+C10/B10</f>
        <v>3.5666132042134431E-2</v>
      </c>
      <c r="G10" s="110">
        <f>+D10/B10</f>
        <v>1.8963070678794575E-2</v>
      </c>
    </row>
    <row r="11" spans="1:12" ht="37.5" customHeight="1" thickBot="1">
      <c r="A11" s="94" t="s">
        <v>120</v>
      </c>
      <c r="B11" s="102">
        <f>+B6+B8</f>
        <v>30696200000</v>
      </c>
      <c r="C11" s="102">
        <f>+C6+C8</f>
        <v>12174817162.950001</v>
      </c>
      <c r="D11" s="102">
        <f>+D6+D8</f>
        <v>2243136766.7400002</v>
      </c>
      <c r="E11" s="102">
        <f>+E6+E8</f>
        <v>18521382837.050003</v>
      </c>
      <c r="F11" s="108">
        <f>+C11/B11</f>
        <v>0.39662294234954165</v>
      </c>
      <c r="G11" s="109">
        <f>+D11/B11</f>
        <v>7.3075389355685721E-2</v>
      </c>
    </row>
    <row r="12" spans="1:12" ht="24">
      <c r="A12" s="120" t="s">
        <v>121</v>
      </c>
      <c r="B12" s="121"/>
      <c r="C12" s="121"/>
      <c r="D12" s="121"/>
      <c r="E12" s="121"/>
      <c r="F12" s="121"/>
      <c r="G12" s="121"/>
    </row>
    <row r="13" spans="1:12" ht="31.5">
      <c r="A13" s="86" t="s">
        <v>122</v>
      </c>
      <c r="B13" s="87" t="s">
        <v>108</v>
      </c>
      <c r="C13" s="87" t="s">
        <v>109</v>
      </c>
      <c r="D13" s="87" t="s">
        <v>110</v>
      </c>
      <c r="E13" s="87" t="s">
        <v>111</v>
      </c>
      <c r="F13" s="88" t="s">
        <v>112</v>
      </c>
      <c r="G13" s="89" t="s">
        <v>113</v>
      </c>
    </row>
    <row r="14" spans="1:12" ht="15.75">
      <c r="A14" s="86"/>
      <c r="B14" s="87">
        <v>-1</v>
      </c>
      <c r="C14" s="87">
        <v>-2</v>
      </c>
      <c r="D14" s="87">
        <v>-3</v>
      </c>
      <c r="E14" s="87" t="s">
        <v>114</v>
      </c>
      <c r="F14" s="88" t="s">
        <v>115</v>
      </c>
      <c r="G14" s="89" t="s">
        <v>116</v>
      </c>
    </row>
    <row r="15" spans="1:12" ht="24">
      <c r="A15" s="95" t="s">
        <v>123</v>
      </c>
      <c r="B15" s="111">
        <f>SUM(B16:B20)</f>
        <v>194184002000</v>
      </c>
      <c r="C15" s="111">
        <f>SUM(C16:C20)</f>
        <v>56231552764.809998</v>
      </c>
      <c r="D15" s="111">
        <f>SUM(D16:D20)</f>
        <v>41798735440.459999</v>
      </c>
      <c r="E15" s="111">
        <f>SUM(E16:E20)</f>
        <v>137952449235.19</v>
      </c>
      <c r="F15" s="112">
        <f t="shared" ref="F15:F21" si="1">+C15/B15</f>
        <v>0.28957870980952383</v>
      </c>
      <c r="G15" s="113">
        <f t="shared" ref="G15:G21" si="2">+D15/B15</f>
        <v>0.21525323924707246</v>
      </c>
    </row>
    <row r="16" spans="1:12" ht="23.25">
      <c r="A16" s="96" t="s">
        <v>124</v>
      </c>
      <c r="B16" s="114">
        <f>GETPIVOTDATA("Suma de APR. VIGENTE",CRIS!$A$3,"CM - A","A01")</f>
        <v>138823452716</v>
      </c>
      <c r="C16" s="114">
        <f>GETPIVOTDATA("Suma de COMPROMISO",CRIS!$A$3,"CM - A","A01")</f>
        <v>29959313352</v>
      </c>
      <c r="D16" s="114">
        <f>GETPIVOTDATA("Suma de OBLIGACION",CRIS!$A$3,"CM - A","A01")</f>
        <v>29880427726.450001</v>
      </c>
      <c r="E16" s="104">
        <f>+B16-C16</f>
        <v>108864139364</v>
      </c>
      <c r="F16" s="106">
        <f t="shared" si="1"/>
        <v>0.21580873235655418</v>
      </c>
      <c r="G16" s="110">
        <f t="shared" si="2"/>
        <v>0.21524048812975644</v>
      </c>
    </row>
    <row r="17" spans="1:7" ht="23.25">
      <c r="A17" s="96" t="s">
        <v>125</v>
      </c>
      <c r="B17" s="114">
        <f>GETPIVOTDATA("Suma de APR. VIGENTE",CRIS!$A$3,"CM - A","A02")</f>
        <v>18864639684</v>
      </c>
      <c r="C17" s="114">
        <f>GETPIVOTDATA("Suma de COMPROMISO",CRIS!$A$3,"CM - A","A02")</f>
        <v>15596259748.17</v>
      </c>
      <c r="D17" s="114">
        <f>GETPIVOTDATA("Suma de OBLIGACION",CRIS!$A$3,"CM - A","A02")</f>
        <v>4878096981.8999996</v>
      </c>
      <c r="E17" s="104">
        <f>+B17-C17</f>
        <v>3268379935.8299999</v>
      </c>
      <c r="F17" s="106">
        <f t="shared" si="1"/>
        <v>0.82674570039087103</v>
      </c>
      <c r="G17" s="110">
        <f t="shared" si="2"/>
        <v>0.25858415870181428</v>
      </c>
    </row>
    <row r="18" spans="1:7" ht="23.25">
      <c r="A18" s="96" t="s">
        <v>126</v>
      </c>
      <c r="B18" s="114">
        <f>GETPIVOTDATA("Suma de APR. VIGENTE",CRIS!$A$3,"CM - A","A03")</f>
        <v>32230278600</v>
      </c>
      <c r="C18" s="114">
        <f>GETPIVOTDATA("Suma de COMPROMISO",CRIS!$A$3,"CM - A","A03")</f>
        <v>7096686492.6400003</v>
      </c>
      <c r="D18" s="114">
        <f>GETPIVOTDATA("Suma de OBLIGACION",CRIS!$A$3,"CM - A","A03")</f>
        <v>6737849852.1099997</v>
      </c>
      <c r="E18" s="104">
        <f>+B18-C18</f>
        <v>25133592107.360001</v>
      </c>
      <c r="F18" s="106">
        <f t="shared" si="1"/>
        <v>0.22018694224504781</v>
      </c>
      <c r="G18" s="110">
        <f t="shared" si="2"/>
        <v>0.20905341637692204</v>
      </c>
    </row>
    <row r="19" spans="1:7" ht="23.25">
      <c r="A19" s="96" t="s">
        <v>127</v>
      </c>
      <c r="B19" s="114">
        <f>GETPIVOTDATA("Suma de APR. VIGENTE",CRIS!$A$3,"CM - A","A06")</f>
        <v>3497000000</v>
      </c>
      <c r="C19" s="114">
        <f>GETPIVOTDATA("Suma de COMPROMISO",CRIS!$A$3,"CM - A","A06")</f>
        <v>3269082185</v>
      </c>
      <c r="D19" s="114">
        <f>GETPIVOTDATA("Suma de OBLIGACION",CRIS!$A$3,"CM - A","A06")</f>
        <v>741074</v>
      </c>
      <c r="E19" s="104">
        <f>+B19-C19</f>
        <v>227917815</v>
      </c>
      <c r="F19" s="106">
        <f t="shared" si="1"/>
        <v>0.93482475979410928</v>
      </c>
      <c r="G19" s="110">
        <f t="shared" si="2"/>
        <v>2.1191707177580784E-4</v>
      </c>
    </row>
    <row r="20" spans="1:7" ht="24" thickBot="1">
      <c r="A20" s="96" t="s">
        <v>128</v>
      </c>
      <c r="B20" s="114">
        <f>GETPIVOTDATA("Suma de APR. VIGENTE",CRIS!$A$3,"CM - A","A08")</f>
        <v>768631000</v>
      </c>
      <c r="C20" s="114">
        <f>GETPIVOTDATA("Suma de COMPROMISO",CRIS!$A$3,"CM - A","A08")</f>
        <v>310210987</v>
      </c>
      <c r="D20" s="114">
        <f>GETPIVOTDATA("Suma de OBLIGACION",CRIS!$A$3,"CM - A","A08")</f>
        <v>301619806</v>
      </c>
      <c r="E20" s="104">
        <f>+B20-C20</f>
        <v>458420013</v>
      </c>
      <c r="F20" s="106">
        <f t="shared" si="1"/>
        <v>0.40358896141321388</v>
      </c>
      <c r="G20" s="110">
        <f t="shared" si="2"/>
        <v>0.39241171121123142</v>
      </c>
    </row>
    <row r="21" spans="1:7" ht="21" thickBot="1">
      <c r="A21" s="97" t="s">
        <v>129</v>
      </c>
      <c r="B21" s="115">
        <f>SUM(B16:B20)</f>
        <v>194184002000</v>
      </c>
      <c r="C21" s="115">
        <f>SUM(C16:C20)</f>
        <v>56231552764.809998</v>
      </c>
      <c r="D21" s="115">
        <f>SUM(D16:D20)</f>
        <v>41798735440.459999</v>
      </c>
      <c r="E21" s="115">
        <f>SUM(E16:E20)</f>
        <v>137952449235.19</v>
      </c>
      <c r="F21" s="116">
        <f t="shared" si="1"/>
        <v>0.28957870980952383</v>
      </c>
      <c r="G21" s="116">
        <f t="shared" si="2"/>
        <v>0.21525323924707246</v>
      </c>
    </row>
    <row r="22" spans="1:7" ht="21" thickBot="1">
      <c r="A22" s="98"/>
      <c r="B22" s="117"/>
      <c r="C22" s="117"/>
      <c r="D22" s="117"/>
      <c r="E22" s="117"/>
      <c r="F22" s="118"/>
      <c r="G22" s="119"/>
    </row>
    <row r="23" spans="1:7" ht="21" thickBot="1">
      <c r="A23" s="97" t="s">
        <v>130</v>
      </c>
      <c r="B23" s="115">
        <f>+B21+B11</f>
        <v>224880202000</v>
      </c>
      <c r="C23" s="115">
        <f>+C21+C11</f>
        <v>68406369927.759995</v>
      </c>
      <c r="D23" s="115">
        <f>+D21+D11</f>
        <v>44041872207.199997</v>
      </c>
      <c r="E23" s="115">
        <f>+E21+E11</f>
        <v>156473832072.23999</v>
      </c>
      <c r="F23" s="116">
        <f>+C23/B23</f>
        <v>0.30419027250678116</v>
      </c>
      <c r="G23" s="116">
        <f>+D23/B23</f>
        <v>0.19584592959054706</v>
      </c>
    </row>
    <row r="30" spans="1:7">
      <c r="F30" s="100"/>
    </row>
    <row r="31" spans="1:7">
      <c r="F31" s="101"/>
    </row>
  </sheetData>
  <sheetProtection algorithmName="SHA-512" hashValue="UDvo/TnxruGCVsvMGtA1l8TULo1Z5Lvvkr6yKooapMo5cvtglM5hvrlWzF+o7SgE7KDtPbBpvHppJ9i6qBi1Ew==" saltValue="nIC8x7FyPT79sklb9w4Qcg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14"/>
  <sheetViews>
    <sheetView workbookViewId="0">
      <selection activeCell="B5" sqref="B5:D9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7">
      <c r="A3" s="81" t="s">
        <v>158</v>
      </c>
      <c r="B3" s="20" t="s">
        <v>149</v>
      </c>
      <c r="C3" s="20" t="s">
        <v>150</v>
      </c>
      <c r="D3" s="20" t="s">
        <v>151</v>
      </c>
    </row>
    <row r="4" spans="1:7">
      <c r="A4" s="82"/>
      <c r="B4" s="83"/>
      <c r="C4" s="83"/>
      <c r="D4" s="83"/>
    </row>
    <row r="5" spans="1:7">
      <c r="A5" s="82" t="s">
        <v>137</v>
      </c>
      <c r="B5" s="83">
        <v>138823452716</v>
      </c>
      <c r="C5" s="83">
        <v>29959313352</v>
      </c>
      <c r="D5" s="83">
        <v>29880427726.450001</v>
      </c>
    </row>
    <row r="6" spans="1:7">
      <c r="A6" s="82" t="s">
        <v>138</v>
      </c>
      <c r="B6" s="83">
        <v>18864639684</v>
      </c>
      <c r="C6" s="83">
        <v>15596259748.17</v>
      </c>
      <c r="D6" s="83">
        <v>4878096981.8999996</v>
      </c>
    </row>
    <row r="7" spans="1:7">
      <c r="A7" s="82" t="s">
        <v>139</v>
      </c>
      <c r="B7" s="83">
        <v>32230278600</v>
      </c>
      <c r="C7" s="83">
        <v>7096686492.6400003</v>
      </c>
      <c r="D7" s="83">
        <v>6737849852.1099997</v>
      </c>
    </row>
    <row r="8" spans="1:7">
      <c r="A8" s="82" t="s">
        <v>140</v>
      </c>
      <c r="B8" s="83">
        <v>3497000000</v>
      </c>
      <c r="C8" s="83">
        <v>3269082185</v>
      </c>
      <c r="D8" s="83">
        <v>741074</v>
      </c>
    </row>
    <row r="9" spans="1:7">
      <c r="A9" s="82" t="s">
        <v>143</v>
      </c>
      <c r="B9" s="83">
        <v>768631000</v>
      </c>
      <c r="C9" s="83">
        <v>310210987</v>
      </c>
      <c r="D9" s="83">
        <v>301619806</v>
      </c>
    </row>
    <row r="10" spans="1:7" ht="15.75">
      <c r="A10" s="82" t="s">
        <v>155</v>
      </c>
      <c r="B10" s="83">
        <v>23259818585</v>
      </c>
      <c r="C10" s="83">
        <v>7578793819.96</v>
      </c>
      <c r="D10" s="83">
        <v>1364813209.1900001</v>
      </c>
      <c r="G10" s="14"/>
    </row>
    <row r="11" spans="1:7">
      <c r="A11" s="82" t="s">
        <v>156</v>
      </c>
      <c r="B11" s="83">
        <v>2721604127</v>
      </c>
      <c r="C11" s="83">
        <v>97069092.159999996</v>
      </c>
      <c r="D11" s="83">
        <v>51609971.420000002</v>
      </c>
    </row>
    <row r="12" spans="1:7">
      <c r="A12" s="82" t="s">
        <v>154</v>
      </c>
      <c r="B12" s="83">
        <v>4714777288</v>
      </c>
      <c r="C12" s="83">
        <v>4498954250.8299999</v>
      </c>
      <c r="D12" s="83">
        <v>826713586.13</v>
      </c>
    </row>
    <row r="13" spans="1:7">
      <c r="A13" s="82" t="s">
        <v>148</v>
      </c>
      <c r="B13" s="83">
        <v>224880202000</v>
      </c>
      <c r="C13" s="83">
        <v>68406369927.760002</v>
      </c>
      <c r="D13" s="83">
        <v>44041872207.199997</v>
      </c>
    </row>
    <row r="14" spans="1:7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B1" zoomScale="80" zoomScaleNormal="80" workbookViewId="0">
      <pane ySplit="1" topLeftCell="A22" activePane="bottomLeft" state="frozen"/>
      <selection activeCell="B1" sqref="B1"/>
      <selection pane="bottomLeft" activeCell="B2" sqref="B2:AB24"/>
    </sheetView>
  </sheetViews>
  <sheetFormatPr baseColWidth="10" defaultRowHeight="15" zeroHeight="1"/>
  <cols>
    <col min="1" max="1" width="5.77734375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0.44140625" style="20" customWidth="1"/>
    <col min="20" max="20" width="9.6640625" style="20" customWidth="1"/>
    <col min="21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28" width="13.6640625" style="20" customWidth="1"/>
    <col min="29" max="31" width="13.6640625" style="20" hidden="1" customWidth="1"/>
    <col min="32" max="32" width="6.77734375" hidden="1" customWidth="1"/>
    <col min="33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72773990000</v>
      </c>
      <c r="S2" s="18">
        <v>5392560211</v>
      </c>
      <c r="T2" s="18">
        <v>0</v>
      </c>
      <c r="U2" s="19">
        <v>78166550211</v>
      </c>
      <c r="V2" s="18">
        <v>0</v>
      </c>
      <c r="W2" s="18">
        <v>78166550211</v>
      </c>
      <c r="X2" s="18">
        <v>0</v>
      </c>
      <c r="Y2" s="18">
        <v>21237768137</v>
      </c>
      <c r="Z2" s="18">
        <v>21166523666.450001</v>
      </c>
      <c r="AA2" s="18">
        <v>21166523666.450001</v>
      </c>
      <c r="AB2" s="18">
        <v>21166523666.450001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28416726000</v>
      </c>
      <c r="S3" s="18">
        <v>0</v>
      </c>
      <c r="T3" s="18">
        <v>0</v>
      </c>
      <c r="U3" s="19">
        <v>28416726000</v>
      </c>
      <c r="V3" s="18">
        <v>0</v>
      </c>
      <c r="W3" s="18">
        <v>28416726000</v>
      </c>
      <c r="X3" s="18">
        <v>0</v>
      </c>
      <c r="Y3" s="18">
        <v>6165505188</v>
      </c>
      <c r="Z3" s="18">
        <v>6165505188</v>
      </c>
      <c r="AA3" s="18">
        <v>6165505188</v>
      </c>
      <c r="AB3" s="18">
        <v>6165505188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18628192000</v>
      </c>
      <c r="S4" s="18">
        <v>5734193505</v>
      </c>
      <c r="T4" s="18">
        <v>0</v>
      </c>
      <c r="U4" s="19">
        <v>24362385505</v>
      </c>
      <c r="V4" s="18">
        <v>0</v>
      </c>
      <c r="W4" s="18">
        <v>24362385505</v>
      </c>
      <c r="X4" s="18">
        <v>0</v>
      </c>
      <c r="Y4" s="18">
        <v>2525398530</v>
      </c>
      <c r="Z4" s="18">
        <v>2517757375</v>
      </c>
      <c r="AA4" s="18">
        <v>2517757375</v>
      </c>
      <c r="AB4" s="18">
        <v>2517757375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7349947000</v>
      </c>
      <c r="S5" s="18">
        <v>0</v>
      </c>
      <c r="T5" s="18">
        <v>0</v>
      </c>
      <c r="U5" s="19">
        <v>7349947000</v>
      </c>
      <c r="V5" s="18">
        <v>7349947000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312119000</v>
      </c>
      <c r="S6" s="18">
        <v>0</v>
      </c>
      <c r="T6" s="18">
        <v>0</v>
      </c>
      <c r="U6" s="19">
        <v>312119000</v>
      </c>
      <c r="V6" s="18">
        <v>0</v>
      </c>
      <c r="W6" s="18">
        <v>312119000</v>
      </c>
      <c r="X6" s="18">
        <v>0</v>
      </c>
      <c r="Y6" s="18">
        <v>22175867</v>
      </c>
      <c r="Z6" s="18">
        <v>22175867</v>
      </c>
      <c r="AA6" s="18">
        <v>22175867</v>
      </c>
      <c r="AB6" s="18">
        <v>22175867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117704000</v>
      </c>
      <c r="S7" s="18">
        <v>0</v>
      </c>
      <c r="T7" s="18">
        <v>0</v>
      </c>
      <c r="U7" s="19">
        <v>117704000</v>
      </c>
      <c r="V7" s="18">
        <v>0</v>
      </c>
      <c r="W7" s="18">
        <v>117704000</v>
      </c>
      <c r="X7" s="18">
        <v>0</v>
      </c>
      <c r="Y7" s="18">
        <v>5786929</v>
      </c>
      <c r="Z7" s="18">
        <v>5786929</v>
      </c>
      <c r="AA7" s="18">
        <v>5786929</v>
      </c>
      <c r="AB7" s="18">
        <v>5786929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98021000</v>
      </c>
      <c r="S8" s="18">
        <v>0</v>
      </c>
      <c r="T8" s="18">
        <v>0</v>
      </c>
      <c r="U8" s="19">
        <v>98021000</v>
      </c>
      <c r="V8" s="18">
        <v>0</v>
      </c>
      <c r="W8" s="18">
        <v>98021000</v>
      </c>
      <c r="X8" s="18">
        <v>0</v>
      </c>
      <c r="Y8" s="18">
        <v>2678701</v>
      </c>
      <c r="Z8" s="18">
        <v>2678701</v>
      </c>
      <c r="AA8" s="18">
        <v>2678701</v>
      </c>
      <c r="AB8" s="18">
        <v>2678701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17932167000</v>
      </c>
      <c r="S9" s="18">
        <v>932472684</v>
      </c>
      <c r="T9" s="18">
        <v>0</v>
      </c>
      <c r="U9" s="18">
        <v>18864639684</v>
      </c>
      <c r="V9" s="18">
        <v>0</v>
      </c>
      <c r="W9" s="18">
        <v>18637165014.889999</v>
      </c>
      <c r="X9" s="18">
        <v>227474669.11000001</v>
      </c>
      <c r="Y9" s="18">
        <v>15596259748.17</v>
      </c>
      <c r="Z9" s="18">
        <v>4878096981.8999996</v>
      </c>
      <c r="AA9" s="18">
        <v>4705266207.54</v>
      </c>
      <c r="AB9" s="18">
        <v>4705266207.54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67.5">
      <c r="A10" s="15" t="s">
        <v>145</v>
      </c>
      <c r="B10" s="16" t="s">
        <v>33</v>
      </c>
      <c r="C10" s="15" t="s">
        <v>34</v>
      </c>
      <c r="D10" s="17" t="s">
        <v>56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57</v>
      </c>
      <c r="J10" s="16"/>
      <c r="K10" s="16"/>
      <c r="L10" s="16"/>
      <c r="M10" s="16"/>
      <c r="N10" s="16" t="s">
        <v>38</v>
      </c>
      <c r="O10" s="16" t="s">
        <v>39</v>
      </c>
      <c r="P10" s="16" t="s">
        <v>40</v>
      </c>
      <c r="Q10" s="15" t="s">
        <v>58</v>
      </c>
      <c r="R10" s="18">
        <v>18090000000</v>
      </c>
      <c r="S10" s="18">
        <v>0</v>
      </c>
      <c r="T10" s="18">
        <v>12059226400</v>
      </c>
      <c r="U10" s="18">
        <v>6030773600</v>
      </c>
      <c r="V10" s="18">
        <v>6030773600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33.75">
      <c r="A11" s="15" t="s">
        <v>145</v>
      </c>
      <c r="B11" s="16" t="s">
        <v>33</v>
      </c>
      <c r="C11" s="15" t="s">
        <v>34</v>
      </c>
      <c r="D11" s="17" t="s">
        <v>59</v>
      </c>
      <c r="E11" s="16" t="s">
        <v>36</v>
      </c>
      <c r="F11" s="16" t="s">
        <v>46</v>
      </c>
      <c r="G11" s="16" t="s">
        <v>49</v>
      </c>
      <c r="H11" s="16" t="s">
        <v>43</v>
      </c>
      <c r="I11" s="16" t="s">
        <v>60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61</v>
      </c>
      <c r="R11" s="18">
        <v>448500000</v>
      </c>
      <c r="S11" s="18">
        <v>0</v>
      </c>
      <c r="T11" s="18">
        <v>0</v>
      </c>
      <c r="U11" s="18">
        <v>448500000</v>
      </c>
      <c r="V11" s="18">
        <v>0</v>
      </c>
      <c r="W11" s="18">
        <v>11653721.99</v>
      </c>
      <c r="X11" s="18">
        <v>436846278.00999999</v>
      </c>
      <c r="Y11" s="18">
        <v>11653721.98</v>
      </c>
      <c r="Z11" s="18">
        <v>9701211.4499999993</v>
      </c>
      <c r="AA11" s="18">
        <v>9701211.4499999993</v>
      </c>
      <c r="AB11" s="18">
        <v>9701211.4499999993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62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63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64</v>
      </c>
      <c r="R12" s="18">
        <v>487405000</v>
      </c>
      <c r="S12" s="18">
        <v>0</v>
      </c>
      <c r="T12" s="18">
        <v>0</v>
      </c>
      <c r="U12" s="18">
        <v>487405000</v>
      </c>
      <c r="V12" s="18">
        <v>0</v>
      </c>
      <c r="W12" s="18">
        <v>0</v>
      </c>
      <c r="X12" s="18">
        <v>487405000</v>
      </c>
      <c r="Y12" s="18">
        <v>0</v>
      </c>
      <c r="Z12" s="18">
        <v>0</v>
      </c>
      <c r="AA12" s="18">
        <v>0</v>
      </c>
      <c r="AB12" s="18">
        <v>0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56.25">
      <c r="A13" s="15" t="s">
        <v>145</v>
      </c>
      <c r="B13" s="16" t="s">
        <v>33</v>
      </c>
      <c r="C13" s="15" t="s">
        <v>34</v>
      </c>
      <c r="D13" s="17" t="s">
        <v>65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66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67</v>
      </c>
      <c r="R13" s="18">
        <v>750000000</v>
      </c>
      <c r="S13" s="18">
        <v>0</v>
      </c>
      <c r="T13" s="18">
        <v>0</v>
      </c>
      <c r="U13" s="18">
        <v>750000000</v>
      </c>
      <c r="V13" s="18">
        <v>0</v>
      </c>
      <c r="W13" s="18">
        <v>750000000</v>
      </c>
      <c r="X13" s="18">
        <v>0</v>
      </c>
      <c r="Y13" s="18">
        <v>147139863</v>
      </c>
      <c r="Z13" s="18">
        <v>147139863</v>
      </c>
      <c r="AA13" s="18">
        <v>147139863</v>
      </c>
      <c r="AB13" s="18">
        <v>147139863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33.75">
      <c r="A14" s="15" t="s">
        <v>145</v>
      </c>
      <c r="B14" s="16" t="s">
        <v>33</v>
      </c>
      <c r="C14" s="15" t="s">
        <v>34</v>
      </c>
      <c r="D14" s="17" t="s">
        <v>68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69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70</v>
      </c>
      <c r="R14" s="18">
        <v>40000000</v>
      </c>
      <c r="S14" s="18">
        <v>0</v>
      </c>
      <c r="T14" s="18">
        <v>0</v>
      </c>
      <c r="U14" s="18">
        <v>40000000</v>
      </c>
      <c r="V14" s="18">
        <v>0</v>
      </c>
      <c r="W14" s="18">
        <v>40000000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45">
      <c r="A15" s="15" t="s">
        <v>145</v>
      </c>
      <c r="B15" s="16" t="s">
        <v>33</v>
      </c>
      <c r="C15" s="15" t="s">
        <v>34</v>
      </c>
      <c r="D15" s="17" t="s">
        <v>71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72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73</v>
      </c>
      <c r="R15" s="18">
        <v>3044000000</v>
      </c>
      <c r="S15" s="18">
        <v>0</v>
      </c>
      <c r="T15" s="18">
        <v>0</v>
      </c>
      <c r="U15" s="18">
        <v>3044000000</v>
      </c>
      <c r="V15" s="18">
        <v>0</v>
      </c>
      <c r="W15" s="18">
        <v>1015414680</v>
      </c>
      <c r="X15" s="18">
        <v>2028585320</v>
      </c>
      <c r="Y15" s="18">
        <v>1015414680</v>
      </c>
      <c r="Z15" s="18">
        <v>764012550</v>
      </c>
      <c r="AA15" s="18">
        <v>764012550</v>
      </c>
      <c r="AB15" s="18">
        <v>764012550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101.25">
      <c r="A16" s="15" t="s">
        <v>145</v>
      </c>
      <c r="B16" s="16" t="s">
        <v>33</v>
      </c>
      <c r="C16" s="15" t="s">
        <v>34</v>
      </c>
      <c r="D16" s="17" t="s">
        <v>74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75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76</v>
      </c>
      <c r="R16" s="18">
        <v>14429600000</v>
      </c>
      <c r="S16" s="18">
        <v>0</v>
      </c>
      <c r="T16" s="18">
        <v>0</v>
      </c>
      <c r="U16" s="18">
        <v>14429600000</v>
      </c>
      <c r="V16" s="18">
        <v>0</v>
      </c>
      <c r="W16" s="18">
        <v>3501468473.54</v>
      </c>
      <c r="X16" s="18">
        <v>10928131526.459999</v>
      </c>
      <c r="Y16" s="18">
        <v>3501468473.54</v>
      </c>
      <c r="Z16" s="18">
        <v>3501468473.54</v>
      </c>
      <c r="AA16" s="18">
        <v>3501468473.54</v>
      </c>
      <c r="AB16" s="18">
        <v>3501468473.54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22.5">
      <c r="A17" s="15" t="s">
        <v>145</v>
      </c>
      <c r="B17" s="16" t="s">
        <v>33</v>
      </c>
      <c r="C17" s="15" t="s">
        <v>34</v>
      </c>
      <c r="D17" s="17" t="s">
        <v>77</v>
      </c>
      <c r="E17" s="16" t="s">
        <v>36</v>
      </c>
      <c r="F17" s="16" t="s">
        <v>46</v>
      </c>
      <c r="G17" s="16" t="s">
        <v>78</v>
      </c>
      <c r="H17" s="16"/>
      <c r="I17" s="16"/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79</v>
      </c>
      <c r="R17" s="18">
        <v>3000000000</v>
      </c>
      <c r="S17" s="18">
        <v>0</v>
      </c>
      <c r="T17" s="18">
        <v>0</v>
      </c>
      <c r="U17" s="18">
        <v>3000000000</v>
      </c>
      <c r="V17" s="18">
        <v>0</v>
      </c>
      <c r="W17" s="18">
        <v>516749204</v>
      </c>
      <c r="X17" s="18">
        <v>2483250796</v>
      </c>
      <c r="Y17" s="18">
        <v>406120976</v>
      </c>
      <c r="Z17" s="18">
        <v>406120976</v>
      </c>
      <c r="AA17" s="18">
        <v>401550311</v>
      </c>
      <c r="AB17" s="18">
        <v>401550311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56.25">
      <c r="A18" s="15" t="s">
        <v>145</v>
      </c>
      <c r="B18" s="16" t="s">
        <v>33</v>
      </c>
      <c r="C18" s="15" t="s">
        <v>34</v>
      </c>
      <c r="D18" s="17" t="s">
        <v>80</v>
      </c>
      <c r="E18" s="16" t="s">
        <v>36</v>
      </c>
      <c r="F18" s="16" t="s">
        <v>46</v>
      </c>
      <c r="G18" s="16" t="s">
        <v>81</v>
      </c>
      <c r="H18" s="16" t="s">
        <v>46</v>
      </c>
      <c r="I18" s="16" t="s">
        <v>82</v>
      </c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83</v>
      </c>
      <c r="R18" s="18">
        <v>4000000000</v>
      </c>
      <c r="S18" s="18">
        <v>0</v>
      </c>
      <c r="T18" s="18">
        <v>0</v>
      </c>
      <c r="U18" s="18">
        <v>4000000000</v>
      </c>
      <c r="V18" s="18">
        <v>0</v>
      </c>
      <c r="W18" s="18">
        <v>4000000000</v>
      </c>
      <c r="X18" s="18">
        <v>0</v>
      </c>
      <c r="Y18" s="18">
        <v>2014888778.1199999</v>
      </c>
      <c r="Z18" s="18">
        <v>1909406778.1199999</v>
      </c>
      <c r="AA18" s="18">
        <v>1847307278.1199999</v>
      </c>
      <c r="AB18" s="18">
        <v>1847307278.1199999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22.5">
      <c r="A19" s="15" t="s">
        <v>145</v>
      </c>
      <c r="B19" s="16" t="s">
        <v>33</v>
      </c>
      <c r="C19" s="15" t="s">
        <v>34</v>
      </c>
      <c r="D19" s="17" t="s">
        <v>84</v>
      </c>
      <c r="E19" s="16" t="s">
        <v>36</v>
      </c>
      <c r="F19" s="16" t="s">
        <v>85</v>
      </c>
      <c r="G19" s="16" t="s">
        <v>37</v>
      </c>
      <c r="H19" s="16" t="s">
        <v>49</v>
      </c>
      <c r="I19" s="16" t="s">
        <v>86</v>
      </c>
      <c r="J19" s="16"/>
      <c r="K19" s="16"/>
      <c r="L19" s="16"/>
      <c r="M19" s="16"/>
      <c r="N19" s="16" t="s">
        <v>38</v>
      </c>
      <c r="O19" s="16" t="s">
        <v>87</v>
      </c>
      <c r="P19" s="16" t="s">
        <v>40</v>
      </c>
      <c r="Q19" s="15" t="s">
        <v>88</v>
      </c>
      <c r="R19" s="18">
        <v>3497000000</v>
      </c>
      <c r="S19" s="18">
        <v>0</v>
      </c>
      <c r="T19" s="18">
        <v>0</v>
      </c>
      <c r="U19" s="18">
        <v>3497000000</v>
      </c>
      <c r="V19" s="18">
        <v>0</v>
      </c>
      <c r="W19" s="18">
        <v>3497000000</v>
      </c>
      <c r="X19" s="18">
        <v>0</v>
      </c>
      <c r="Y19" s="18">
        <v>3269082185</v>
      </c>
      <c r="Z19" s="18">
        <v>741074</v>
      </c>
      <c r="AA19" s="18">
        <v>741074</v>
      </c>
      <c r="AB19" s="18">
        <v>741074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A06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89</v>
      </c>
      <c r="E20" s="16" t="s">
        <v>36</v>
      </c>
      <c r="F20" s="16" t="s">
        <v>90</v>
      </c>
      <c r="G20" s="16" t="s">
        <v>37</v>
      </c>
      <c r="H20" s="16"/>
      <c r="I20" s="16"/>
      <c r="J20" s="16"/>
      <c r="K20" s="16"/>
      <c r="L20" s="16"/>
      <c r="M20" s="16"/>
      <c r="N20" s="16" t="s">
        <v>38</v>
      </c>
      <c r="O20" s="16" t="s">
        <v>39</v>
      </c>
      <c r="P20" s="16" t="s">
        <v>40</v>
      </c>
      <c r="Q20" s="15" t="s">
        <v>91</v>
      </c>
      <c r="R20" s="18">
        <v>314731000</v>
      </c>
      <c r="S20" s="18">
        <v>0</v>
      </c>
      <c r="T20" s="18">
        <v>0</v>
      </c>
      <c r="U20" s="18">
        <v>314731000</v>
      </c>
      <c r="V20" s="18">
        <v>0</v>
      </c>
      <c r="W20" s="18">
        <v>310210987</v>
      </c>
      <c r="X20" s="18">
        <v>4520013</v>
      </c>
      <c r="Y20" s="18">
        <v>310210987</v>
      </c>
      <c r="Z20" s="18">
        <v>301619806</v>
      </c>
      <c r="AA20" s="18">
        <v>301619806</v>
      </c>
      <c r="AB20" s="18">
        <v>301619806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A08</v>
      </c>
    </row>
    <row r="21" spans="1:32" ht="33.75">
      <c r="A21" s="15" t="s">
        <v>145</v>
      </c>
      <c r="B21" s="16" t="s">
        <v>33</v>
      </c>
      <c r="C21" s="15" t="s">
        <v>34</v>
      </c>
      <c r="D21" s="17" t="s">
        <v>92</v>
      </c>
      <c r="E21" s="16" t="s">
        <v>36</v>
      </c>
      <c r="F21" s="16" t="s">
        <v>90</v>
      </c>
      <c r="G21" s="16" t="s">
        <v>49</v>
      </c>
      <c r="H21" s="16" t="s">
        <v>37</v>
      </c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93</v>
      </c>
      <c r="R21" s="18">
        <v>453900000</v>
      </c>
      <c r="S21" s="18">
        <v>0</v>
      </c>
      <c r="T21" s="18">
        <v>0</v>
      </c>
      <c r="U21" s="18">
        <v>453900000</v>
      </c>
      <c r="V21" s="18">
        <v>0</v>
      </c>
      <c r="W21" s="18">
        <v>0</v>
      </c>
      <c r="X21" s="18">
        <v>453900000</v>
      </c>
      <c r="Y21" s="18">
        <v>0</v>
      </c>
      <c r="Z21" s="18">
        <v>0</v>
      </c>
      <c r="AA21" s="18">
        <v>0</v>
      </c>
      <c r="AB21" s="18">
        <v>0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112.5">
      <c r="A22" s="15" t="s">
        <v>145</v>
      </c>
      <c r="B22" s="16" t="s">
        <v>33</v>
      </c>
      <c r="C22" s="15" t="s">
        <v>34</v>
      </c>
      <c r="D22" s="17" t="s">
        <v>94</v>
      </c>
      <c r="E22" s="16" t="s">
        <v>95</v>
      </c>
      <c r="F22" s="16" t="s">
        <v>96</v>
      </c>
      <c r="G22" s="16" t="s">
        <v>97</v>
      </c>
      <c r="H22" s="16" t="s">
        <v>98</v>
      </c>
      <c r="I22" s="16" t="s">
        <v>99</v>
      </c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100</v>
      </c>
      <c r="R22" s="18">
        <v>4714777288</v>
      </c>
      <c r="S22" s="18">
        <v>0</v>
      </c>
      <c r="T22" s="18">
        <v>0</v>
      </c>
      <c r="U22" s="18">
        <v>4714777288</v>
      </c>
      <c r="V22" s="18">
        <v>0</v>
      </c>
      <c r="W22" s="18">
        <v>4601011255.3299999</v>
      </c>
      <c r="X22" s="18">
        <v>113766032.67</v>
      </c>
      <c r="Y22" s="18">
        <v>4498954250.8299999</v>
      </c>
      <c r="Z22" s="18">
        <v>826713586.13</v>
      </c>
      <c r="AA22" s="18">
        <v>796229386.13</v>
      </c>
      <c r="AB22" s="18">
        <v>796229386.13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C3</v>
      </c>
    </row>
    <row r="23" spans="1:32" ht="78.75">
      <c r="A23" s="15" t="s">
        <v>145</v>
      </c>
      <c r="B23" s="16" t="s">
        <v>33</v>
      </c>
      <c r="C23" s="15" t="s">
        <v>34</v>
      </c>
      <c r="D23" s="17" t="s">
        <v>101</v>
      </c>
      <c r="E23" s="16" t="s">
        <v>95</v>
      </c>
      <c r="F23" s="16" t="s">
        <v>102</v>
      </c>
      <c r="G23" s="16" t="s">
        <v>97</v>
      </c>
      <c r="H23" s="16" t="s">
        <v>81</v>
      </c>
      <c r="I23" s="16" t="s">
        <v>103</v>
      </c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104</v>
      </c>
      <c r="R23" s="18">
        <v>23259818585</v>
      </c>
      <c r="S23" s="18">
        <v>0</v>
      </c>
      <c r="T23" s="18">
        <v>0</v>
      </c>
      <c r="U23" s="18">
        <v>23259818585</v>
      </c>
      <c r="V23" s="18">
        <v>0</v>
      </c>
      <c r="W23" s="18">
        <v>11002305526</v>
      </c>
      <c r="X23" s="18">
        <v>12257513059</v>
      </c>
      <c r="Y23" s="18">
        <v>7578793819.96</v>
      </c>
      <c r="Z23" s="18">
        <v>1364813209.1900001</v>
      </c>
      <c r="AA23" s="18">
        <v>1336932253.1900001</v>
      </c>
      <c r="AB23" s="18">
        <v>1336932253.1900001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C11</v>
      </c>
    </row>
    <row r="24" spans="1:32" ht="78.75">
      <c r="A24" s="15" t="s">
        <v>145</v>
      </c>
      <c r="B24" s="16" t="s">
        <v>33</v>
      </c>
      <c r="C24" s="15" t="s">
        <v>34</v>
      </c>
      <c r="D24" s="17" t="s">
        <v>105</v>
      </c>
      <c r="E24" s="16" t="s">
        <v>95</v>
      </c>
      <c r="F24" s="16" t="s">
        <v>102</v>
      </c>
      <c r="G24" s="16" t="s">
        <v>97</v>
      </c>
      <c r="H24" s="16" t="s">
        <v>106</v>
      </c>
      <c r="I24" s="16" t="s">
        <v>103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104</v>
      </c>
      <c r="R24" s="18">
        <v>2721604127</v>
      </c>
      <c r="S24" s="18">
        <v>0</v>
      </c>
      <c r="T24" s="18">
        <v>0</v>
      </c>
      <c r="U24" s="18">
        <v>2721604127</v>
      </c>
      <c r="V24" s="18">
        <v>0</v>
      </c>
      <c r="W24" s="18">
        <v>302069092.16000003</v>
      </c>
      <c r="X24" s="18">
        <v>2419535034.8400002</v>
      </c>
      <c r="Y24" s="18">
        <v>97069092.159999996</v>
      </c>
      <c r="Z24" s="18">
        <v>51609971.420000002</v>
      </c>
      <c r="AA24" s="18">
        <v>51609971.420000002</v>
      </c>
      <c r="AB24" s="18">
        <v>51609971.420000002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C12</v>
      </c>
    </row>
    <row r="25" spans="1:32">
      <c r="A25" s="15" t="s">
        <v>146</v>
      </c>
      <c r="B25" s="16"/>
      <c r="C25" s="23"/>
      <c r="D25" s="2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/>
      </c>
    </row>
    <row r="26" spans="1:32">
      <c r="A26" s="15" t="s">
        <v>146</v>
      </c>
      <c r="B26" s="22"/>
      <c r="C26" s="23"/>
      <c r="D26" s="24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17.21875" bestFit="1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3" t="s">
        <v>169</v>
      </c>
      <c r="B2" s="123"/>
      <c r="C2" s="123"/>
      <c r="D2" s="123"/>
      <c r="E2" s="123"/>
      <c r="F2" s="123"/>
      <c r="G2" s="123"/>
      <c r="H2" s="123"/>
      <c r="I2" s="123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56231552764.810005</v>
      </c>
      <c r="C4" t="s">
        <v>145</v>
      </c>
      <c r="D4" s="13">
        <f t="shared" ref="D4:D15" si="0">B4</f>
        <v>56231552764.810005</v>
      </c>
      <c r="F4" s="78" t="s">
        <v>145</v>
      </c>
      <c r="G4" s="13">
        <v>41798735440.459999</v>
      </c>
      <c r="H4" t="s">
        <v>145</v>
      </c>
      <c r="I4" s="13">
        <f t="shared" ref="I4:I15" si="1">G4</f>
        <v>41798735440.459999</v>
      </c>
      <c r="J4" s="13"/>
      <c r="K4" s="78" t="s">
        <v>145</v>
      </c>
      <c r="L4" s="13">
        <v>194184002000</v>
      </c>
      <c r="M4" s="13" t="str">
        <f t="shared" ref="M4:M15" si="2">K4</f>
        <v>Enero</v>
      </c>
      <c r="N4" s="13">
        <f t="shared" ref="N4:N15" si="3">L4</f>
        <v>194184002000</v>
      </c>
      <c r="O4" s="13"/>
      <c r="P4" s="72">
        <f t="shared" ref="P4:P15" si="4">+D4/N4</f>
        <v>0.28957870980952388</v>
      </c>
      <c r="Q4" s="72">
        <f t="shared" ref="Q4:Q15" si="5">+I4/N4</f>
        <v>0.21525323924707246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>
        <v>56231552764.810005</v>
      </c>
      <c r="F17" s="78" t="s">
        <v>148</v>
      </c>
      <c r="G17">
        <v>41798735440.459999</v>
      </c>
      <c r="K17" s="78" t="s">
        <v>148</v>
      </c>
      <c r="L17">
        <v>194184002000</v>
      </c>
    </row>
    <row r="21" spans="1:18">
      <c r="A21" s="123" t="s">
        <v>189</v>
      </c>
      <c r="B21" s="123"/>
      <c r="C21" s="123"/>
      <c r="D21" s="123"/>
      <c r="E21" s="123"/>
      <c r="F21" s="123"/>
      <c r="G21" s="123"/>
      <c r="H21" s="123"/>
      <c r="I21" s="123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12174817162.950001</v>
      </c>
      <c r="C23" t="str">
        <f t="shared" ref="C23:C34" si="6">A23</f>
        <v>Enero</v>
      </c>
      <c r="D23" s="13">
        <f t="shared" ref="D23:D34" si="7">B23</f>
        <v>12174817162.950001</v>
      </c>
      <c r="F23" s="78" t="s">
        <v>145</v>
      </c>
      <c r="G23" s="13">
        <v>2243136766.7400002</v>
      </c>
      <c r="H23" t="str">
        <f t="shared" ref="H23:H34" si="8">F23</f>
        <v>Enero</v>
      </c>
      <c r="I23" s="13">
        <f t="shared" ref="I23:I34" si="9">G23</f>
        <v>2243136766.7400002</v>
      </c>
      <c r="K23" s="78" t="s">
        <v>145</v>
      </c>
      <c r="L23" s="13">
        <v>30696200000</v>
      </c>
      <c r="M23" s="13" t="str">
        <f t="shared" ref="M23:M34" si="10">K23</f>
        <v>Enero</v>
      </c>
      <c r="N23" s="13">
        <f t="shared" ref="N23:N34" si="11">L23</f>
        <v>30696200000</v>
      </c>
      <c r="O23" s="13"/>
      <c r="P23" s="72">
        <f t="shared" ref="P23:P34" si="12">+D23/N23</f>
        <v>0.39662294234954165</v>
      </c>
      <c r="Q23" s="72">
        <f t="shared" ref="Q23:Q34" si="13">+I23/N23</f>
        <v>7.3075389355685721E-2</v>
      </c>
    </row>
    <row r="24" spans="1:18">
      <c r="A24" s="78" t="s">
        <v>146</v>
      </c>
      <c r="B24" s="13"/>
      <c r="C24" t="str">
        <f t="shared" si="6"/>
        <v>Febrero</v>
      </c>
      <c r="D24" s="13">
        <f t="shared" si="7"/>
        <v>0</v>
      </c>
      <c r="F24" s="78" t="s">
        <v>146</v>
      </c>
      <c r="G24" s="13"/>
      <c r="H24" t="str">
        <f t="shared" si="8"/>
        <v>Febrero</v>
      </c>
      <c r="I24" s="13">
        <f t="shared" si="9"/>
        <v>0</v>
      </c>
      <c r="K24" s="78" t="s">
        <v>146</v>
      </c>
      <c r="L24" s="13"/>
      <c r="M24" s="13" t="str">
        <f t="shared" si="10"/>
        <v>Febrero</v>
      </c>
      <c r="N24" s="13">
        <f t="shared" si="11"/>
        <v>0</v>
      </c>
      <c r="O24" s="13"/>
      <c r="P24" s="72" t="e">
        <f t="shared" si="12"/>
        <v>#DIV/0!</v>
      </c>
      <c r="Q24" s="72" t="e">
        <f t="shared" si="13"/>
        <v>#DIV/0!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>
        <v>12174817162.950001</v>
      </c>
      <c r="F36" s="78" t="s">
        <v>148</v>
      </c>
      <c r="G36">
        <v>2243136766.7400002</v>
      </c>
      <c r="K36" s="78" t="s">
        <v>148</v>
      </c>
      <c r="L36">
        <v>30696200000</v>
      </c>
    </row>
    <row r="39" spans="1:18">
      <c r="B39" s="124" t="s">
        <v>182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224880202000</v>
      </c>
      <c r="D42" s="13">
        <v>68406369927.76001</v>
      </c>
      <c r="E42" s="13">
        <v>44041872207.199997</v>
      </c>
      <c r="F42" t="str">
        <f t="shared" ref="F42:F53" si="14">B42</f>
        <v>Enero</v>
      </c>
      <c r="G42" s="72">
        <f>+GETPIVOTDATA("SCOMPROMISO",$B$41,"Mes","Enero")/GETPIVOTDATA(" APR. VIGENTE",$B$41,"Mes","Enero")</f>
        <v>0.30419027250678121</v>
      </c>
      <c r="H42" s="72">
        <f>+GETPIVOTDATA("SOBLIGACION",$B$41,"Mes","Enero")/GETPIVOTDATA(" APR. VIGENTE",$B$41,"Mes","Enero")</f>
        <v>0.19584592959054706</v>
      </c>
    </row>
    <row r="43" spans="1:18">
      <c r="B43" t="s">
        <v>146</v>
      </c>
      <c r="C43" s="13"/>
      <c r="D43" s="13"/>
      <c r="E43" s="13"/>
      <c r="F43" t="str">
        <f t="shared" si="14"/>
        <v>Febrero</v>
      </c>
      <c r="G43" s="72" t="e">
        <f>+GETPIVOTDATA("SCOMPROMISO",$B$41,"Mes","Febrero")/GETPIVOTDATA(" APR. VIGENTE",$B$41,"Mes","Febrero")</f>
        <v>#DIV/0!</v>
      </c>
      <c r="H43" s="72" t="e">
        <f>+GETPIVOTDATA("SOBLIGACION",$B$41,"Mes","Febrero")/GETPIVOTDATA(" APR. VIGENTE",$B$41,"Mes","Febrero")</f>
        <v>#DIV/0!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>
        <v>224880202000</v>
      </c>
      <c r="D55">
        <v>68406369927.76001</v>
      </c>
      <c r="E55">
        <v>44041872207.199997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6" t="s">
        <v>122</v>
      </c>
      <c r="D59" s="127"/>
      <c r="E59" s="127"/>
      <c r="F59" s="127"/>
      <c r="G59" s="127"/>
      <c r="H59" s="127"/>
      <c r="I59" s="127"/>
      <c r="J59" s="127"/>
      <c r="K59" s="127"/>
      <c r="L59" s="127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0.28957870980952388</v>
      </c>
      <c r="L61" s="35">
        <f>'BASE OBL-COM'!Q4</f>
        <v>0.21525323924707246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6" t="s">
        <v>185</v>
      </c>
      <c r="D74" s="127"/>
      <c r="E74" s="127"/>
      <c r="F74" s="127"/>
      <c r="G74" s="127"/>
      <c r="H74" s="127"/>
      <c r="I74" s="127"/>
      <c r="J74" s="127"/>
      <c r="K74" s="127"/>
      <c r="L74" s="127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0.39662294234954165</v>
      </c>
      <c r="L76" s="76">
        <f>'BASE OBL-COM'!Q23</f>
        <v>7.3075389355685721E-2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 t="e">
        <f>'BASE OBL-COM'!P24</f>
        <v>#DIV/0!</v>
      </c>
      <c r="L77" s="76" t="e">
        <f>'BASE OBL-COM'!Q24</f>
        <v>#DIV/0!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0.39662294234954165</v>
      </c>
      <c r="F88" s="64">
        <f>+Ejecucion!D11/Ejecucion!B11</f>
        <v>7.3075389355685721E-2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5" t="s">
        <v>182</v>
      </c>
      <c r="D90" s="125"/>
      <c r="E90" s="125"/>
      <c r="F90" s="125"/>
      <c r="G90" s="125"/>
      <c r="H90" s="125"/>
      <c r="I90" s="125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0.30419027250678121</v>
      </c>
      <c r="L92" s="76">
        <f>'BASE OBL-COM'!H42</f>
        <v>0.19584592959054706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 t="e">
        <f>'BASE OBL-COM'!G43</f>
        <v>#DIV/0!</v>
      </c>
      <c r="L93" s="76" t="e">
        <f>'BASE OBL-COM'!H43</f>
        <v>#DIV/0!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2025-05-22T15:57:18Z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