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18" documentId="14_{7412D774-386C-4933-B974-8F1D30CD3A03}" xr6:coauthVersionLast="47" xr6:coauthVersionMax="47" xr10:uidLastSave="{8346F02E-2C6C-4E8D-8DC4-BF5491ED7F1D}"/>
  <workbookProtection workbookAlgorithmName="SHA-512" workbookHashValue="RfMLQK2MXuq2XB39uX2xDHt5LDhQEV0YRRSfg8vrjLDY4Nkmw+yx47syZTlKpxUISMViObh1hfHRoQO8d0aV6g==" workbookSaltValue="0BfMjpv7bTsCiRxCyLPN1g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9" i="2"/>
  <c r="B10" i="2"/>
  <c r="D17" i="2"/>
  <c r="D7" i="2"/>
  <c r="D10" i="2"/>
  <c r="B7" i="2"/>
  <c r="C18" i="2"/>
  <c r="C7" i="2"/>
  <c r="B16" i="2"/>
  <c r="B18" i="2"/>
  <c r="D16" i="2"/>
  <c r="D18" i="2"/>
  <c r="C10" i="2"/>
  <c r="C9" i="2"/>
  <c r="C17" i="2"/>
  <c r="D9" i="2"/>
  <c r="B17" i="2"/>
  <c r="C16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6" i="32"/>
  <c r="G43" i="32"/>
  <c r="G50" i="32"/>
  <c r="H52" i="32"/>
  <c r="G45" i="32"/>
  <c r="H44" i="32"/>
  <c r="H45" i="32"/>
  <c r="H49" i="32"/>
  <c r="G42" i="32"/>
  <c r="H42" i="32"/>
  <c r="G44" i="32"/>
  <c r="H48" i="32"/>
  <c r="H47" i="32"/>
  <c r="H43" i="32"/>
  <c r="G49" i="32"/>
  <c r="H51" i="32"/>
  <c r="G52" i="32"/>
  <c r="G51" i="32"/>
  <c r="H46" i="32"/>
  <c r="G47" i="32"/>
  <c r="H50" i="32"/>
  <c r="G48" i="32"/>
  <c r="G53" i="32"/>
  <c r="H5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<sst xmlns="http://schemas.openxmlformats.org/spreadsheetml/2006/main" count="2121" uniqueCount="205">
  <si>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</si>
  <si>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</si>
  <si>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</si>
  <si>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</si>
  <si>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</si>
  <si>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</si>
  <si>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</si>
  <si>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</si>
  <si>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</si>
  <si>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</si>
  <si>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</si>
  <si>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</si>
  <si>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</si>
  <si>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</si>
  <si>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</si>
  <si>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</si>
  <si>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</si>
  <si>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</si>
  <si>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</si>
  <si>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</si>
  <si>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</si>
  <si>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</si>
  <si>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</si>
  <si>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</si>
  <si>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</si>
  <si>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</si>
  <si>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</si>
  <si>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</si>
  <si>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</si>
  <si>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</si>
  <si>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</si>
  <si>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</si>
  <si>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</si>
  <si>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</si>
  <si>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</si>
  <si>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</si>
  <si>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</si>
  <si>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</si>
  <si>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</si>
  <si>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</si>
  <si>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</si>
  <si>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</si>
  <si>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</si>
  <si>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</si>
  <si>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</si>
  <si>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</si>
  <si>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</si>
  <si>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</si>
  <si>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</si>
  <si>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</si>
  <si>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</si>
  <si>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</si>
  <si>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</si>
  <si>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</si>
  <si>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</si>
  <si>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</si>
  <si>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</si>
  <si>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</si>
  <si>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</si>
  <si>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</si>
  <si>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</si>
  <si>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</si>
  <si>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</si>
  <si>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</si>
  <si>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</si>
  <si>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</si>
  <si>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</si>
  <si>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</si>
  <si>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</si>
  <si>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</si>
  <si>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</si>
  <si>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</si>
  <si>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</si>
  <si>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</si>
  <si>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</si>
  <si>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</si>
  <si>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</si>
  <si>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</si>
  <si>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</si>
  <si>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</si>
  <si>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</si>
  <si>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</si>
  <si>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</si>
  <si>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</si>
  <si>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</si>
  <si>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</si>
  <si>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</si>
  <si>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</si>
  <si>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</si>
  <si>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</si>
  <si>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</si>
  <si>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</si>
  <si>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</si>
  <si>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</si>
  <si>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</si>
  <si>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</si>
  <si>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</si>
  <si>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</si>
  <si>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</si>
  <si>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</si>
  <si>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</si>
  <si>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</si>
  <si>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</si>
  <si>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</si>
  <si>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</si>
  <si>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</si>
  <si>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</si>
  <si>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</si>
  <si>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</si>
  <si>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</si>
  <si>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</si>
  <si>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</si>
  <si>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</si>
  <si>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</si>
  <si>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</si>
  <si>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</si>
  <si>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</si>
  <si>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</si>
  <si>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</si>
  <si>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</si>
  <si>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</si>
  <si>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</si>
  <si>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</si>
  <si>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</si>
  <si>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</si>
  <si>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</si>
  <si>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</si>
  <si>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</si>
  <si>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</si>
  <si>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</si>
  <si>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</si>
  <si>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</si>
  <si>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</si>
  <si>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</si>
  <si>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</si>
  <si>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</si>
  <si>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</si>
  <si>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</si>
  <si>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</si>
  <si>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</si>
  <si>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</si>
  <si>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</si>
  <si>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</si>
  <si>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</si>
  <si>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</si>
  <si>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</si>
  <si>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</si>
  <si>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</si>
  <si>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</si>
  <si>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</si>
  <si>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</si>
  <si>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</si>
  <si>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</si>
  <si>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</si>
  <si>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</si>
  <si>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</si>
  <si>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</si>
  <si>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</si>
  <si>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</si>
  <si>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</si>
  <si>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</si>
  <si>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</si>
  <si>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</si>
  <si>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</si>
  <si>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</si>
  <si>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</si>
  <si>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</si>
  <si>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</si>
  <si>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</si>
  <si>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</si>
  <si>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</si>
  <si>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</si>
  <si>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</si>
  <si>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</si>
  <si>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</si>
  <si>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</si>
  <si>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</si>
  <si>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</si>
  <si>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</si>
  <si>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</si>
  <si>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</si>
  <si>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</si>
  <si>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</si>
  <si>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</si>
  <si>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</si>
  <si>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</si>
  <si>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</si>
  <si>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</si>
  <si>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</si>
  <si>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</si>
  <si>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</si>
  <si>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</si>
  <si>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</si>
  <si>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</si>
  <si>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</si>
  <si>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</si>
  <si>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</si>
  <si>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</si>
  <si>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</si>
  <si>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</si>
  <si>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</si>
  <si>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</si>
  <si>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</si>
  <si>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</si>
  <si>
    <t xml:space="preserve">EJECUCIÓN PRESUPUESTAL Agosto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</si>
</sst>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4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97155</xdr:colOff>
      <xdr:row>12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211455</xdr:colOff>
      <xdr:row>11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401955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129540</xdr:colOff>
      <xdr:row>29</xdr:row>
      <xdr:rowOff>97155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19050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363855</xdr:colOff>
      <xdr:row>11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434340</xdr:colOff>
      <xdr:row>29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42857407409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42857986109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42858101855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9677868.45000005"/>
    <n v="629677868.45000005"/>
    <n v="610311064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17000000"/>
    <n v="1700000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9677868.45000005"/>
    <n v="629677868.45000005"/>
    <n v="610311064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17000000"/>
    <n v="1700000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70" zoomScaleNormal="98" zoomScaleSheetLayoutView="70" workbookViewId="0">
      <selection activeCell="A2" sqref="A2:G2"/>
    </sheetView>
  </sheetViews>
  <sheetFormatPr baseColWidth="10" defaultColWidth="11.5546875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204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186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26944467.670000002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461849</v>
      </c>
      <c r="F6" s="122">
        <f t="shared" si="0"/>
        <v>0.98285922714612683</v>
      </c>
      <c r="G6" s="122">
        <f t="shared" si="0"/>
        <v>0.98285922714612683</v>
      </c>
    </row>
    <row r="7" spans="1:13" ht="28.5">
      <c r="A7" s="97" t="s">
        <v>201</v>
      </c>
      <c r="B7" s="107">
        <f>GETPIVOTDATA("Suma de COMPROMISO",CRIS!$A$2,"CM - A","C35023")</f>
        <v>26944467.670000002</v>
      </c>
      <c r="C7" s="107">
        <f>GETPIVOTDATA("Suma de OBLIGACION",CRIS!$A$2,"CM - A","C35023")</f>
        <v>26482618.670000002</v>
      </c>
      <c r="D7" s="107">
        <f>GETPIVOTDATA("Suma de ORDEN PAGO",CRIS!$A$2,"CM - A","C35023")</f>
        <v>26482618.670000002</v>
      </c>
      <c r="E7" s="108">
        <f>+B7-C7</f>
        <v>461849</v>
      </c>
      <c r="F7" s="117">
        <f>+C7/B7</f>
        <v>0.98285922714612683</v>
      </c>
      <c r="G7" s="119">
        <f>+D7/B7</f>
        <v>0.98285922714612683</v>
      </c>
    </row>
    <row r="8" spans="1:13" ht="36">
      <c r="A8" s="96" t="s">
        <v>112</v>
      </c>
      <c r="B8" s="106">
        <f>+B9+B10</f>
        <v>1165400426.9299998</v>
      </c>
      <c r="C8" s="106">
        <f>+C9+C10</f>
        <v>1165400426.9299998</v>
      </c>
      <c r="D8" s="106">
        <f>+D9+D10</f>
        <v>1165400426.9299998</v>
      </c>
      <c r="E8" s="106">
        <f>SUM(E9:E10)</f>
        <v>0</v>
      </c>
      <c r="F8" s="123">
        <f>+C8/B8</f>
        <v>1</v>
      </c>
      <c r="G8" s="124">
        <f>+D8/B8</f>
        <v>1</v>
      </c>
    </row>
    <row r="9" spans="1:13" ht="28.5">
      <c r="A9" s="97" t="s">
        <v>202</v>
      </c>
      <c r="B9" s="107">
        <f>GETPIVOTDATA("Suma de COMPROMISO",CRIS!$A$2,"CM - A","C359911")</f>
        <v>389106500</v>
      </c>
      <c r="C9" s="107">
        <f>GETPIVOTDATA("Suma de OBLIGACION",CRIS!$A$2,"CM - A","C359911")</f>
        <v>389106500</v>
      </c>
      <c r="D9" s="107">
        <f>GETPIVOTDATA("Suma de ORDEN PAGO",CRIS!$A$2,"CM - A","C359911")</f>
        <v>389106500</v>
      </c>
      <c r="E9" s="107">
        <f>+B9-C9</f>
        <v>0</v>
      </c>
      <c r="F9" s="117">
        <f>+C9/B9</f>
        <v>1</v>
      </c>
      <c r="G9" s="118">
        <f>+D9/B9</f>
        <v>1</v>
      </c>
    </row>
    <row r="10" spans="1:13" ht="29.25" thickBot="1">
      <c r="A10" s="97" t="s">
        <v>203</v>
      </c>
      <c r="B10" s="107">
        <f>GETPIVOTDATA("Suma de COMPROMISO",CRIS!$A$2,"CM - A","C359912")</f>
        <v>776293926.92999995</v>
      </c>
      <c r="C10" s="107">
        <f>GETPIVOTDATA("Suma de OBLIGACION",CRIS!$A$2,"CM - A","C359912")</f>
        <v>776293926.92999995</v>
      </c>
      <c r="D10" s="107">
        <f>GETPIVOTDATA("Suma de ORDEN PAGO",CRIS!$A$2,"CM - A","C359912")</f>
        <v>776293926.92999995</v>
      </c>
      <c r="E10" s="107">
        <f>+B10-C10</f>
        <v>0</v>
      </c>
      <c r="F10" s="117">
        <f>+C10/B10</f>
        <v>1</v>
      </c>
      <c r="G10" s="118">
        <f>+D10/B10</f>
        <v>1</v>
      </c>
    </row>
    <row r="11" spans="1:13" ht="37.5" customHeight="1" thickBot="1">
      <c r="A11" s="98" t="s">
        <v>113</v>
      </c>
      <c r="B11" s="106">
        <f>+B8+B6</f>
        <v>1192344894.5999999</v>
      </c>
      <c r="C11" s="106">
        <f>++C8+C6</f>
        <v>1191883045.5999999</v>
      </c>
      <c r="D11" s="106">
        <f>+D8+D6</f>
        <v>1191883045.5999999</v>
      </c>
      <c r="E11" s="106">
        <f>+E6+E8</f>
        <v>461849</v>
      </c>
      <c r="F11" s="123">
        <f>+C11/B11</f>
        <v>0.99961265486010664</v>
      </c>
      <c r="G11" s="124">
        <f>+D11/B11</f>
        <v>0.99961265486010664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1794778833.45</v>
      </c>
      <c r="C15" s="109">
        <f>SUM(C16:C18)</f>
        <v>1743684471.45</v>
      </c>
      <c r="D15" s="109">
        <f>SUM(D16:D18)</f>
        <v>1718680767.45</v>
      </c>
      <c r="E15" s="109">
        <f>SUM(E16:E18)</f>
        <v>51094362</v>
      </c>
      <c r="F15" s="120">
        <f t="shared" ref="F15:F19" si="1">+C15/B15</f>
        <v>0.97153166671696023</v>
      </c>
      <c r="G15" s="121">
        <f t="shared" ref="G15:G19" si="2">+D15/B15</f>
        <v>0.95760031008738777</v>
      </c>
    </row>
    <row r="16" spans="1:13" ht="23.25">
      <c r="A16" s="100" t="s">
        <v>198</v>
      </c>
      <c r="B16" s="110">
        <f>GETPIVOTDATA("Suma de COMPROMISO",CRIS!$A$2,"CM - A","A02")</f>
        <v>162710084</v>
      </c>
      <c r="C16" s="110">
        <f>GETPIVOTDATA("Suma de OBLIGACION",CRIS!$A$2,"CM - A","A02")</f>
        <v>162710084</v>
      </c>
      <c r="D16" s="110">
        <f>GETPIVOTDATA("Suma de ORDEN PAGO",CRIS!$A$2,"CM - A","A02")</f>
        <v>162710084</v>
      </c>
      <c r="E16" s="107">
        <f>+B16-C16</f>
        <v>0</v>
      </c>
      <c r="F16" s="117">
        <f t="shared" si="1"/>
        <v>1</v>
      </c>
      <c r="G16" s="118">
        <f t="shared" si="2"/>
        <v>1</v>
      </c>
    </row>
    <row r="17" spans="1:7" ht="23.25">
      <c r="A17" s="100" t="s">
        <v>199</v>
      </c>
      <c r="B17" s="110">
        <f>GETPIVOTDATA("Suma de COMPROMISO",CRIS!$A$2,"CM - A","A03")</f>
        <v>722775934.45000005</v>
      </c>
      <c r="C17" s="110">
        <f>GETPIVOTDATA("Suma de OBLIGACION",CRIS!$A$2,"CM - A","A03")</f>
        <v>671681572.45000005</v>
      </c>
      <c r="D17" s="110">
        <f>GETPIVOTDATA("Suma de ORDEN PAGO",CRIS!$A$2,"CM - A","A03")</f>
        <v>646677868.45000005</v>
      </c>
      <c r="E17" s="107">
        <f>+B17-C17</f>
        <v>51094362</v>
      </c>
      <c r="F17" s="117">
        <f t="shared" si="1"/>
        <v>0.92930815822073476</v>
      </c>
      <c r="G17" s="118">
        <f t="shared" si="2"/>
        <v>0.89471416745784815</v>
      </c>
    </row>
    <row r="18" spans="1:7" ht="24" thickBot="1">
      <c r="A18" s="100" t="s">
        <v>200</v>
      </c>
      <c r="B18" s="110">
        <f>GETPIVOTDATA("Suma de COMPROMISO",CRIS!$A$2,"CM - A","A06")</f>
        <v>909292815</v>
      </c>
      <c r="C18" s="110">
        <f>GETPIVOTDATA("Suma de OBLIGACION",CRIS!$A$2,"CM - A","A06")</f>
        <v>909292815</v>
      </c>
      <c r="D18" s="110">
        <f>GETPIVOTDATA("Suma de ORDEN PAGO",CRIS!$A$2,"CM - A","A06")</f>
        <v>909292815</v>
      </c>
      <c r="E18" s="107">
        <f>+B18-C18</f>
        <v>0</v>
      </c>
      <c r="F18" s="117">
        <f t="shared" si="1"/>
        <v>1</v>
      </c>
      <c r="G18" s="118">
        <f t="shared" si="2"/>
        <v>1</v>
      </c>
    </row>
    <row r="19" spans="1:7" ht="21" thickBot="1">
      <c r="A19" s="101" t="s">
        <v>117</v>
      </c>
      <c r="B19" s="111">
        <f>SUM(B16:B18)</f>
        <v>1794778833.45</v>
      </c>
      <c r="C19" s="111">
        <f>SUM(C16:C18)</f>
        <v>1743684471.45</v>
      </c>
      <c r="D19" s="111">
        <f>SUM(D16:D18)</f>
        <v>1718680767.45</v>
      </c>
      <c r="E19" s="111">
        <f>SUM(E16:E18)</f>
        <v>51094362</v>
      </c>
      <c r="F19" s="125">
        <f t="shared" si="1"/>
        <v>0.97153166671696023</v>
      </c>
      <c r="G19" s="125">
        <f t="shared" si="2"/>
        <v>0.95760031008738777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2987123728.0500002</v>
      </c>
      <c r="C21" s="111">
        <f>+C19+C11</f>
        <v>2935567517.0500002</v>
      </c>
      <c r="D21" s="111">
        <f>+D19+D11</f>
        <v>2910563813.0500002</v>
      </c>
      <c r="E21" s="111">
        <f>+E19+E11</f>
        <v>51556211</v>
      </c>
      <c r="F21" s="125">
        <f>+C21/B21</f>
        <v>0.98274051706801713</v>
      </c>
      <c r="G21" s="125">
        <f>+D21/B21</f>
        <v>0.97437002214502233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8k5xxBJZG8FWNW6O9ecI5etgqrMKPWFvBmFKWNOKk8Ln4VA8o6AwJJrFJa87CPVX/0jl3wzWCgKCxDnyZVq92Q==" saltValue="Jd+Bcd2RX2ifG4WGBBXlXw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4" bestFit="1" customWidth="1"/>
    <col min="2" max="2" width="17.6640625" style="13" bestFit="1" customWidth="1"/>
    <col min="3" max="3" width="16.21875" style="13" bestFit="1" customWidth="1"/>
    <col min="4" max="4" width="16.77734375" style="13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162710084</v>
      </c>
      <c r="D4" s="13">
        <v>162710084</v>
      </c>
    </row>
    <row r="5" spans="1:4">
      <c r="A5" s="79" t="s">
        <v>126</v>
      </c>
      <c r="B5" s="13">
        <v>722775934.45000005</v>
      </c>
      <c r="C5" s="13">
        <v>671681572.45000005</v>
      </c>
      <c r="D5" s="13">
        <v>646677868.45000005</v>
      </c>
    </row>
    <row r="6" spans="1:4">
      <c r="A6" s="79" t="s">
        <v>127</v>
      </c>
      <c r="B6" s="13">
        <v>909292815</v>
      </c>
      <c r="C6" s="13">
        <v>909292815</v>
      </c>
      <c r="D6" s="13">
        <v>909292815</v>
      </c>
    </row>
    <row r="7" spans="1:4">
      <c r="A7" s="79" t="s">
        <v>119</v>
      </c>
      <c r="B7" s="13">
        <v>26944467.670000002</v>
      </c>
      <c r="C7" s="13">
        <v>26482618.670000002</v>
      </c>
      <c r="D7" s="13">
        <v>26482618.670000002</v>
      </c>
    </row>
    <row r="8" spans="1:4">
      <c r="A8" s="79" t="s">
        <v>120</v>
      </c>
      <c r="B8" s="13">
        <v>389106500</v>
      </c>
      <c r="C8" s="13">
        <v>389106500</v>
      </c>
      <c r="D8" s="13">
        <v>389106500</v>
      </c>
    </row>
    <row r="9" spans="1:4">
      <c r="A9" s="79" t="s">
        <v>121</v>
      </c>
      <c r="B9" s="13">
        <v>776293926.92999995</v>
      </c>
      <c r="C9" s="13">
        <v>776293926.92999995</v>
      </c>
      <c r="D9" s="13">
        <v>776293926.92999995</v>
      </c>
    </row>
    <row r="10" spans="1:4">
      <c r="A10" s="79" t="s">
        <v>135</v>
      </c>
      <c r="B10" s="13">
        <v>2987123728.0499997</v>
      </c>
      <c r="C10" s="13">
        <v>2935567517.0499997</v>
      </c>
      <c r="D10" s="13">
        <v>2910563813.0500002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O1" zoomScale="80" zoomScaleNormal="80" workbookViewId="0">
      <pane ySplit="1" topLeftCell="A2" activePane="bottomLeft" state="frozen"/>
      <selection activeCell="B1" sqref="B1"/>
      <selection pane="bottomLeft" activeCell="W8" sqref="W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629677868.45000005</v>
      </c>
      <c r="V3" s="84">
        <v>629677868.45000005</v>
      </c>
      <c r="W3" s="84">
        <v>610311064.45000005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42003704</v>
      </c>
      <c r="V4" s="84">
        <v>17000000</v>
      </c>
      <c r="W4" s="84">
        <v>17000000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909292815</v>
      </c>
      <c r="U5" s="85">
        <v>909292815</v>
      </c>
      <c r="V5" s="84">
        <v>909292815</v>
      </c>
      <c r="W5" s="84">
        <v>909292815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26944467.670000002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776293926.92999995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121</v>
      </c>
    </row>
    <row r="9" spans="1:28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4" bestFit="1" customWidth="1"/>
    <col min="2" max="2" width="10" bestFit="1" customWidth="1"/>
    <col min="3" max="3" width="10.5546875" bestFit="1" customWidth="1"/>
    <col min="4" max="4" width="11.6640625" customWidth="1"/>
    <col min="5" max="5" width="10.33203125" customWidth="1"/>
    <col min="6" max="6" width="14" bestFit="1" customWidth="1"/>
    <col min="7" max="7" width="16.21875" bestFit="1" customWidth="1"/>
    <col min="8" max="10" width="11.5546875" customWidth="1"/>
    <col min="11" max="11" width="14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29" t="s">
        <v>170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0" t="s">
        <v>163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2935567517.0499997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2935567517.0499997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7773437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166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0.99961265486010664</v>
      </c>
      <c r="F88" s="65">
        <f>+Ejecucion!D11/Ejecucion!B11</f>
        <v>0.99961265486010664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163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2025-09-08T14:03:14Z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