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42" documentId="14_{3C60A7A4-4415-4B71-8EB5-AC83B4C4B376}" xr6:coauthVersionLast="47" xr6:coauthVersionMax="47" xr10:uidLastSave="{21970FC8-E366-4140-85B1-E20BEA4C201C}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G3" i="10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7" i="2"/>
  <c r="C17" i="2"/>
  <c r="C18" i="2"/>
  <c r="D20" i="2"/>
  <c r="G43" i="32"/>
  <c r="B19" i="2"/>
  <c r="H45" i="32"/>
  <c r="H49" i="32"/>
  <c r="G49" i="32"/>
  <c r="G53" i="32"/>
  <c r="D17" i="2"/>
  <c r="B17" i="2"/>
  <c r="H50" i="32"/>
  <c r="B9" i="2"/>
  <c r="B16" i="2"/>
  <c r="H53" i="32"/>
  <c r="B10" i="2"/>
  <c r="C19" i="2"/>
  <c r="G51" i="32"/>
  <c r="H43" i="32"/>
  <c r="H48" i="32"/>
  <c r="D10" i="2"/>
  <c r="D9" i="2"/>
  <c r="G47" i="32"/>
  <c r="C7" i="2"/>
  <c r="D7" i="2"/>
  <c r="D18" i="2"/>
  <c r="G42" i="32"/>
  <c r="D19" i="2"/>
  <c r="H52" i="32"/>
  <c r="C10" i="2"/>
  <c r="C16" i="2"/>
  <c r="B20" i="2"/>
  <c r="H46" i="32"/>
  <c r="C9" i="2"/>
  <c r="G50" i="32"/>
  <c r="G46" i="32"/>
  <c r="B18" i="2"/>
  <c r="G45" i="32"/>
  <c r="C20" i="2"/>
  <c r="D16" i="2"/>
  <c r="G48" i="32"/>
  <c r="G52" i="32"/>
  <c r="H42" i="32"/>
  <c r="H44" i="32"/>
  <c r="H51" i="32"/>
  <c r="H47" i="32"/>
  <c r="G44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10" i="32" l="1"/>
  <c r="K67" i="11" s="1"/>
  <c r="P23" i="32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<sst xmlns="http://schemas.openxmlformats.org/spreadsheetml/2006/main" count="2303" uniqueCount="205">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</sst>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  <font>
      <sz val="8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0618055552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7350764019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0" maxValue="80124754019"/>
    </cacheField>
    <cacheField name="APR BLOQUEADA" numFmtId="0">
      <sharedItems containsString="0" containsBlank="1" containsNumber="1" containsInteger="1" minValue="0" maxValue="6030773600"/>
    </cacheField>
    <cacheField name="CDP" numFmtId="0">
      <sharedItems containsString="0" containsBlank="1" containsNumber="1" minValue="0" maxValue="80124754019"/>
    </cacheField>
    <cacheField name="APR. DISPONIBLE" numFmtId="0">
      <sharedItems containsString="0" containsBlank="1" containsNumber="1" minValue="0" maxValue="3887506159.0900002"/>
    </cacheField>
    <cacheField name="COMPROMISO" numFmtId="0">
      <sharedItems containsString="0" containsBlank="1" containsNumber="1" minValue="0" maxValue="57838678337"/>
    </cacheField>
    <cacheField name="OBLIGACION" numFmtId="0">
      <sharedItems containsString="0" containsBlank="1" containsNumber="1" minValue="0" maxValue="57823997394.209999"/>
    </cacheField>
    <cacheField name="ORDEN PAGO" numFmtId="0">
      <sharedItems containsString="0" containsBlank="1" containsNumber="1" minValue="0" maxValue="57823997394.209999"/>
    </cacheField>
    <cacheField name="PAGOS" numFmtId="0">
      <sharedItems containsString="0" containsBlank="1" containsNumber="1" minValue="0" maxValue="57823997394.20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061863426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69868371082618841" maxValue="0.69868371082618841"/>
    </cacheField>
    <cacheField name="ACTUAL-OBLIGADO" numFmtId="168">
      <sharedItems containsMixedTypes="1" containsNumber="1" minValue="0.65686153301429018" maxValue="0.656861533014290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7350764019"/>
    <n v="0"/>
    <n v="80124754019"/>
    <n v="0"/>
    <n v="80124754019"/>
    <n v="0"/>
    <n v="57838678337"/>
    <n v="57823997394.209999"/>
    <n v="57823997394.209999"/>
    <n v="57823997394.20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649980026"/>
    <n v="0"/>
    <n v="29066706026"/>
    <n v="0"/>
    <n v="29066706026"/>
    <n v="0"/>
    <n v="21345175872"/>
    <n v="21345175872"/>
    <n v="21345175872"/>
    <n v="21345175872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13605612577"/>
    <n v="13577536621"/>
    <n v="13577536621"/>
    <n v="13577536621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7349947000"/>
    <n v="0"/>
    <n v="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76203398"/>
    <n v="75081107"/>
    <n v="75081107"/>
    <n v="75081107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25385471"/>
    <n v="25385471"/>
    <n v="25385471"/>
    <n v="25385471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15346630"/>
    <n v="15339863"/>
    <n v="15339863"/>
    <n v="15339863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1569877684"/>
    <n v="0"/>
    <n v="19502044684"/>
    <n v="0"/>
    <n v="19475252060.27"/>
    <n v="26792623.73"/>
    <n v="18968361091.93"/>
    <n v="13396327459.6"/>
    <n v="13263468325.469999"/>
    <n v="13263468325.469999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180093183"/>
    <n v="0"/>
    <n v="628593183"/>
    <n v="0"/>
    <n v="407774372.42000002"/>
    <n v="220818810.58000001"/>
    <n v="407774372.41000003"/>
    <n v="407774372.41000003"/>
    <n v="407774372.41000003"/>
    <n v="407774372.41000003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487405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406105687"/>
    <n v="405660309"/>
    <n v="405660309"/>
    <n v="405660309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259644835"/>
    <n v="784355165"/>
    <n v="2259644835"/>
    <n v="2259644835"/>
    <n v="2259644835"/>
    <n v="2259644835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150000000"/>
    <n v="14279600000"/>
    <n v="0"/>
    <n v="10392093840.91"/>
    <n v="3887506159.0900002"/>
    <n v="10392093840.91"/>
    <n v="10392093840.91"/>
    <n v="10392093840.91"/>
    <n v="10392093840.91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210749204"/>
    <n v="1789250796"/>
    <n v="1050371694.9299999"/>
    <n v="1049575184.9299999"/>
    <n v="1049575184.9299999"/>
    <n v="1049575184.92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4535652076"/>
    <n v="0"/>
    <n v="8535652076"/>
    <n v="0"/>
    <n v="8535652076"/>
    <n v="0"/>
    <n v="5323896634.1199999"/>
    <n v="5116333976.1199999"/>
    <n v="5068134476.1199999"/>
    <n v="5068134476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196300587.1399999"/>
    <n v="900051707.38999999"/>
    <n v="900051707.38999999"/>
    <n v="900051707.38999999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26017907"/>
    <n v="0"/>
    <n v="340748907"/>
    <n v="0"/>
    <n v="337002801"/>
    <n v="3746106"/>
    <n v="336502801"/>
    <n v="336277956"/>
    <n v="336277956"/>
    <n v="33627795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425745271"/>
    <n v="28154729"/>
    <n v="425745271"/>
    <n v="425745271"/>
    <n v="425745271"/>
    <n v="425745271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4776588.3299999"/>
    <n v="699.67"/>
    <n v="4696166539.8299999"/>
    <n v="3538509114.0700002"/>
    <n v="3523983114.0700002"/>
    <n v="3523983114.0700002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23223679470.75"/>
    <n v="36139114.25"/>
    <n v="13242256380.41"/>
    <n v="8947423816.4799995"/>
    <n v="8884948398.6900005"/>
    <n v="8884948398.6900005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2602800995.5599999"/>
    <n v="118803131.44"/>
    <n v="1247584653.8399999"/>
    <n v="80109971.420000002"/>
    <n v="80109971.420000002"/>
    <n v="8010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69868371082618841"/>
    <n v="0.65686153301429018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84" zoomScaleNormal="98" zoomScaleSheetLayoutView="84" workbookViewId="0">
      <selection activeCell="A2" sqref="A2:G2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1">
        <f t="shared" ref="B6:G6" si="0">+B7</f>
        <v>4714777288</v>
      </c>
      <c r="C6" s="101">
        <f t="shared" si="0"/>
        <v>4696166539.8299999</v>
      </c>
      <c r="D6" s="101">
        <f t="shared" si="0"/>
        <v>3538509114.0700002</v>
      </c>
      <c r="E6" s="101">
        <f t="shared" si="0"/>
        <v>18610748.170000076</v>
      </c>
      <c r="F6" s="102">
        <f t="shared" si="0"/>
        <v>0.99605267713973089</v>
      </c>
      <c r="G6" s="102">
        <f t="shared" si="0"/>
        <v>0.75051458381208702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4696166539.8299999</v>
      </c>
      <c r="D7" s="103">
        <f>GETPIVOTDATA("Suma de OBLIGACION",CRIS!$A$3,"CM - A","C3")</f>
        <v>3538509114.0700002</v>
      </c>
      <c r="E7" s="104">
        <f>+B7-C7</f>
        <v>18610748.170000076</v>
      </c>
      <c r="F7" s="105">
        <f>+C7/B7</f>
        <v>0.99605267713973089</v>
      </c>
      <c r="G7" s="106">
        <f>+D7/B7</f>
        <v>0.75051458381208702</v>
      </c>
    </row>
    <row r="8" spans="1:12" ht="36">
      <c r="A8" s="90" t="s">
        <v>119</v>
      </c>
      <c r="B8" s="101">
        <f>SUM(B9:B10)</f>
        <v>25981422712</v>
      </c>
      <c r="C8" s="101">
        <f>SUM(C9:C10)</f>
        <v>14489841034.25</v>
      </c>
      <c r="D8" s="101">
        <f>SUM(D9:D10)</f>
        <v>9027533787.8999996</v>
      </c>
      <c r="E8" s="101">
        <f>SUM(E9:E10)</f>
        <v>11491581677.75</v>
      </c>
      <c r="F8" s="107">
        <f>+C8/B8</f>
        <v>0.5577000611116496</v>
      </c>
      <c r="G8" s="108">
        <f>+D8/B8</f>
        <v>0.34746110280290643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13242256380.41</v>
      </c>
      <c r="D9" s="103">
        <f>GETPIVOTDATA("Suma de OBLIGACION",CRIS!$A$3,"CM - A","C11")</f>
        <v>8947423816.4799995</v>
      </c>
      <c r="E9" s="103">
        <f>+B9-C9</f>
        <v>10017562204.59</v>
      </c>
      <c r="F9" s="105">
        <f>+C9/B9</f>
        <v>0.56931898810895221</v>
      </c>
      <c r="G9" s="109">
        <f>+D9/B9</f>
        <v>0.3846729837458876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1247584653.8399999</v>
      </c>
      <c r="D10" s="103">
        <f>GETPIVOTDATA("Suma de OBLIGACION",CRIS!$A$3,"CM - A","C12")</f>
        <v>80109971.420000002</v>
      </c>
      <c r="E10" s="103">
        <f>+B10-C10</f>
        <v>1474019473.1600001</v>
      </c>
      <c r="F10" s="105">
        <f>+C10/B10</f>
        <v>0.45840048575146797</v>
      </c>
      <c r="G10" s="109">
        <f>+D10/B10</f>
        <v>2.9434836104655863E-2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19186007574.080002</v>
      </c>
      <c r="D11" s="101">
        <f>+D6+D8</f>
        <v>12566042901.969999</v>
      </c>
      <c r="E11" s="101">
        <f>+E6+E8</f>
        <v>11510192425.92</v>
      </c>
      <c r="F11" s="107">
        <f>+C11/B11</f>
        <v>0.62502875190023521</v>
      </c>
      <c r="G11" s="108">
        <f>+D11/B11</f>
        <v>0.40936802933164362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135673199100.43999</v>
      </c>
      <c r="D15" s="110">
        <f>SUM(D16:D20)</f>
        <v>127552001240.56999</v>
      </c>
      <c r="E15" s="110">
        <f>SUM(E16:E20)</f>
        <v>58510802899.559998</v>
      </c>
      <c r="F15" s="111">
        <f t="shared" ref="F15:F21" si="1">+C15/B15</f>
        <v>0.69868371082618841</v>
      </c>
      <c r="G15" s="112">
        <f t="shared" ref="G15:G21" si="2">+D15/B15</f>
        <v>0.65686153301429018</v>
      </c>
    </row>
    <row r="16" spans="1:12" ht="23.25">
      <c r="A16" s="95" t="s">
        <v>124</v>
      </c>
      <c r="B16" s="113">
        <f>GETPIVOTDATA("Suma de APR. VIGENTE",CRIS!$A$3,"CM - A","A01")</f>
        <v>134081689550</v>
      </c>
      <c r="C16" s="113">
        <f>GETPIVOTDATA("Suma de COMPROMISO",CRIS!$A$3,"CM - A","A01")</f>
        <v>92906402285</v>
      </c>
      <c r="D16" s="113">
        <f>GETPIVOTDATA("Suma de OBLIGACION",CRIS!$A$3,"CM - A","A01")</f>
        <v>92862516328.209991</v>
      </c>
      <c r="E16" s="103">
        <f>+B16-C16</f>
        <v>41175287265</v>
      </c>
      <c r="F16" s="105">
        <f t="shared" si="1"/>
        <v>0.6929089467533488</v>
      </c>
      <c r="G16" s="109">
        <f t="shared" si="2"/>
        <v>0.69258163914753557</v>
      </c>
    </row>
    <row r="17" spans="1:7" ht="23.25">
      <c r="A17" s="95" t="s">
        <v>125</v>
      </c>
      <c r="B17" s="113">
        <f>GETPIVOTDATA("Suma de APR. VIGENTE",CRIS!$A$3,"CM - A","A02")</f>
        <v>19502044684</v>
      </c>
      <c r="C17" s="113">
        <f>GETPIVOTDATA("Suma de COMPROMISO",CRIS!$A$3,"CM - A","A02")</f>
        <v>18968361091.93</v>
      </c>
      <c r="D17" s="113">
        <f>GETPIVOTDATA("Suma de OBLIGACION",CRIS!$A$3,"CM - A","A02")</f>
        <v>13396327459.6</v>
      </c>
      <c r="E17" s="103">
        <f>+B17-C17</f>
        <v>533683592.06999969</v>
      </c>
      <c r="F17" s="105">
        <f t="shared" si="1"/>
        <v>0.97263448009080566</v>
      </c>
      <c r="G17" s="109">
        <f t="shared" si="2"/>
        <v>0.68691912446445713</v>
      </c>
    </row>
    <row r="18" spans="1:7" ht="23.25">
      <c r="A18" s="95" t="s">
        <v>126</v>
      </c>
      <c r="B18" s="113">
        <f>GETPIVOTDATA("Suma de APR. VIGENTE",CRIS!$A$3,"CM - A","A03")</f>
        <v>36308618859</v>
      </c>
      <c r="C18" s="113">
        <f>GETPIVOTDATA("Suma de COMPROMISO",CRIS!$A$3,"CM - A","A03")</f>
        <v>19839887064.369999</v>
      </c>
      <c r="D18" s="113">
        <f>GETPIVOTDATA("Suma de OBLIGACION",CRIS!$A$3,"CM - A","A03")</f>
        <v>19631082518.369999</v>
      </c>
      <c r="E18" s="103">
        <f>+B18-C18</f>
        <v>16468731794.630001</v>
      </c>
      <c r="F18" s="105">
        <f t="shared" si="1"/>
        <v>0.54642362303605463</v>
      </c>
      <c r="G18" s="109">
        <f t="shared" si="2"/>
        <v>0.54067279712855132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3196300587.1399999</v>
      </c>
      <c r="D19" s="113">
        <f>GETPIVOTDATA("Suma de OBLIGACION",CRIS!$A$3,"CM - A","A06")</f>
        <v>900051707.38999999</v>
      </c>
      <c r="E19" s="103">
        <f>+B19-C19</f>
        <v>300699412.86000013</v>
      </c>
      <c r="F19" s="105">
        <f t="shared" si="1"/>
        <v>0.91401217819273661</v>
      </c>
      <c r="G19" s="109">
        <f t="shared" si="2"/>
        <v>0.25737824060337433</v>
      </c>
    </row>
    <row r="20" spans="1:7" ht="24" thickBot="1">
      <c r="A20" s="95" t="s">
        <v>128</v>
      </c>
      <c r="B20" s="113">
        <f>GETPIVOTDATA("Suma de APR. VIGENTE",CRIS!$A$3,"CM - A","A08")</f>
        <v>794648907</v>
      </c>
      <c r="C20" s="113">
        <f>GETPIVOTDATA("Suma de COMPROMISO",CRIS!$A$3,"CM - A","A08")</f>
        <v>762248072</v>
      </c>
      <c r="D20" s="113">
        <f>GETPIVOTDATA("Suma de OBLIGACION",CRIS!$A$3,"CM - A","A08")</f>
        <v>762023227</v>
      </c>
      <c r="E20" s="103">
        <f>+B20-C20</f>
        <v>32400835</v>
      </c>
      <c r="F20" s="105">
        <f t="shared" si="1"/>
        <v>0.95922622592872953</v>
      </c>
      <c r="G20" s="109">
        <f t="shared" si="2"/>
        <v>0.95894327707166904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135673199100.43999</v>
      </c>
      <c r="D21" s="114">
        <f>SUM(D16:D20)</f>
        <v>127552001240.56999</v>
      </c>
      <c r="E21" s="114">
        <f>SUM(E16:E20)</f>
        <v>58510802899.559998</v>
      </c>
      <c r="F21" s="115">
        <f t="shared" si="1"/>
        <v>0.69868371082618841</v>
      </c>
      <c r="G21" s="115">
        <f t="shared" si="2"/>
        <v>0.65686153301429018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154859206674.51999</v>
      </c>
      <c r="D23" s="114">
        <f>+D21+D11</f>
        <v>140118044142.53998</v>
      </c>
      <c r="E23" s="114">
        <f>+E21+E11</f>
        <v>70020995325.479996</v>
      </c>
      <c r="F23" s="115">
        <f>+C23/B23</f>
        <v>0.68862979176139294</v>
      </c>
      <c r="G23" s="115">
        <f>+D23/B23</f>
        <v>0.62307861206270165</v>
      </c>
    </row>
    <row r="30" spans="1:7">
      <c r="F30" s="99"/>
    </row>
    <row r="31" spans="1:7">
      <c r="F31" s="100"/>
    </row>
  </sheetData>
  <sheetProtection algorithmName="SHA-512" hashValue="incHRs0jnSEkykBkzgAgL2Pk1WbCzXZkKx2X/5hychNCksvrtZ02NqWNcWaOWab2Z3+p/2uEzmmmRL9BWQI0VQ==" saltValue="eOqstx8gol603zKF1UCgdA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bestFit="1" customWidth="1"/>
    <col min="2" max="2" width="16.6640625" bestFit="1" customWidth="1"/>
    <col min="3" max="3" width="17.21875" bestFit="1" customWidth="1"/>
    <col min="4" max="4" width="15.88671875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45965</v>
      </c>
      <c r="H3" t="str">
        <f ca="1">TEXT(G3,"MMMM")</f>
        <v>noviembre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134081689550</v>
      </c>
      <c r="C5" s="83">
        <v>92906402285</v>
      </c>
      <c r="D5" s="83">
        <v>92862516328.209991</v>
      </c>
      <c r="G5" t="s">
        <v>203</v>
      </c>
    </row>
    <row r="6" spans="1:9">
      <c r="A6" s="82" t="s">
        <v>138</v>
      </c>
      <c r="B6" s="83">
        <v>19502044684</v>
      </c>
      <c r="C6" s="83">
        <v>18968361091.93</v>
      </c>
      <c r="D6" s="83">
        <v>13396327459.6</v>
      </c>
      <c r="G6" t="str">
        <f ca="1">CONCATENATE(G4," ",H3," ",G5)</f>
        <v xml:space="preserve">EJECUCIÓN PRESUPUESTAL  noviembre 2024 ( Millones) </v>
      </c>
    </row>
    <row r="7" spans="1:9">
      <c r="A7" s="82" t="s">
        <v>139</v>
      </c>
      <c r="B7" s="83">
        <v>36308618859</v>
      </c>
      <c r="C7" s="83">
        <v>19839887064.369999</v>
      </c>
      <c r="D7" s="83">
        <v>19631082518.369999</v>
      </c>
    </row>
    <row r="8" spans="1:9">
      <c r="A8" s="82" t="s">
        <v>140</v>
      </c>
      <c r="B8" s="83">
        <v>3497000000</v>
      </c>
      <c r="C8" s="83">
        <v>3196300587.1399999</v>
      </c>
      <c r="D8" s="83">
        <v>900051707.38999999</v>
      </c>
    </row>
    <row r="9" spans="1:9">
      <c r="A9" s="82" t="s">
        <v>143</v>
      </c>
      <c r="B9" s="83">
        <v>794648907</v>
      </c>
      <c r="C9" s="83">
        <v>762248072</v>
      </c>
      <c r="D9" s="83">
        <v>762023227</v>
      </c>
    </row>
    <row r="10" spans="1:9" ht="15.75">
      <c r="A10" s="82" t="s">
        <v>155</v>
      </c>
      <c r="B10" s="83">
        <v>23259818585</v>
      </c>
      <c r="C10" s="83">
        <v>13242256380.41</v>
      </c>
      <c r="D10" s="83">
        <v>8947423816.4799995</v>
      </c>
      <c r="G10" s="14"/>
    </row>
    <row r="11" spans="1:9">
      <c r="A11" s="82" t="s">
        <v>156</v>
      </c>
      <c r="B11" s="83">
        <v>2721604127</v>
      </c>
      <c r="C11" s="83">
        <v>1247584653.8399999</v>
      </c>
      <c r="D11" s="83">
        <v>80109971.420000002</v>
      </c>
    </row>
    <row r="12" spans="1:9">
      <c r="A12" s="82" t="s">
        <v>154</v>
      </c>
      <c r="B12" s="83">
        <v>4714777288</v>
      </c>
      <c r="C12" s="83">
        <v>4696166539.8299999</v>
      </c>
      <c r="D12" s="83">
        <v>3538509114.0700002</v>
      </c>
    </row>
    <row r="13" spans="1:9">
      <c r="A13" s="82" t="s">
        <v>148</v>
      </c>
      <c r="B13" s="83">
        <v>224880202000</v>
      </c>
      <c r="C13" s="83">
        <v>154859206674.51996</v>
      </c>
      <c r="D13" s="83">
        <v>140118044142.53998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D1" zoomScale="80" zoomScaleNormal="80" workbookViewId="0">
      <pane ySplit="1" topLeftCell="A5" activePane="bottomLeft" state="frozen"/>
      <selection activeCell="B1" sqref="B1"/>
      <selection pane="bottomLeft" activeCell="S12" sqref="S12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6.33203125" style="20" customWidth="1"/>
    <col min="20" max="20" width="15.2187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7350764019</v>
      </c>
      <c r="T2" s="18">
        <v>0</v>
      </c>
      <c r="U2" s="19">
        <v>80124754019</v>
      </c>
      <c r="V2" s="18">
        <v>0</v>
      </c>
      <c r="W2" s="18">
        <v>80124754019</v>
      </c>
      <c r="X2" s="18">
        <v>0</v>
      </c>
      <c r="Y2" s="18">
        <v>57838678337</v>
      </c>
      <c r="Z2" s="18">
        <v>57823997394.209999</v>
      </c>
      <c r="AA2" s="18">
        <v>57823997394.209999</v>
      </c>
      <c r="AB2" s="18">
        <v>57823997394.209999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649980026</v>
      </c>
      <c r="T3" s="18">
        <v>0</v>
      </c>
      <c r="U3" s="19">
        <v>29066706026</v>
      </c>
      <c r="V3" s="18">
        <v>0</v>
      </c>
      <c r="W3" s="18">
        <v>29066706026</v>
      </c>
      <c r="X3" s="18">
        <v>0</v>
      </c>
      <c r="Y3" s="18">
        <v>21345175872</v>
      </c>
      <c r="Z3" s="18">
        <v>21345175872</v>
      </c>
      <c r="AA3" s="18">
        <v>21345175872</v>
      </c>
      <c r="AB3" s="18">
        <v>21345175872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13605612577</v>
      </c>
      <c r="Z4" s="18">
        <v>13577536621</v>
      </c>
      <c r="AA4" s="18">
        <v>13577536621</v>
      </c>
      <c r="AB4" s="18">
        <v>13577536621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7349947000</v>
      </c>
      <c r="U5" s="19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76203398</v>
      </c>
      <c r="Z6" s="18">
        <v>75081107</v>
      </c>
      <c r="AA6" s="18">
        <v>75081107</v>
      </c>
      <c r="AB6" s="18">
        <v>75081107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25385471</v>
      </c>
      <c r="Z7" s="18">
        <v>25385471</v>
      </c>
      <c r="AA7" s="18">
        <v>25385471</v>
      </c>
      <c r="AB7" s="18">
        <v>25385471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15346630</v>
      </c>
      <c r="Z8" s="18">
        <v>15339863</v>
      </c>
      <c r="AA8" s="18">
        <v>15339863</v>
      </c>
      <c r="AB8" s="18">
        <v>15339863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1569877684</v>
      </c>
      <c r="T9" s="18">
        <v>0</v>
      </c>
      <c r="U9" s="18">
        <v>19502044684</v>
      </c>
      <c r="V9" s="18">
        <v>0</v>
      </c>
      <c r="W9" s="18">
        <v>19475252060.27</v>
      </c>
      <c r="X9" s="18">
        <v>26792623.73</v>
      </c>
      <c r="Y9" s="18">
        <v>18968361091.93</v>
      </c>
      <c r="Z9" s="18">
        <v>13396327459.6</v>
      </c>
      <c r="AA9" s="18">
        <v>13263468325.469999</v>
      </c>
      <c r="AB9" s="18">
        <v>13263468325.469999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180093183</v>
      </c>
      <c r="T11" s="18">
        <v>0</v>
      </c>
      <c r="U11" s="18">
        <v>628593183</v>
      </c>
      <c r="V11" s="18">
        <v>0</v>
      </c>
      <c r="W11" s="18">
        <v>407774372.42000002</v>
      </c>
      <c r="X11" s="18">
        <v>220818810.58000001</v>
      </c>
      <c r="Y11" s="18">
        <v>407774372.41000003</v>
      </c>
      <c r="Z11" s="18">
        <v>407774372.41000003</v>
      </c>
      <c r="AA11" s="18">
        <v>407774372.41000003</v>
      </c>
      <c r="AB11" s="18">
        <v>407774372.41000003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487405000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406105687</v>
      </c>
      <c r="Z13" s="18">
        <v>405660309</v>
      </c>
      <c r="AA13" s="18">
        <v>405660309</v>
      </c>
      <c r="AB13" s="18">
        <v>405660309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2259644835</v>
      </c>
      <c r="X15" s="18">
        <v>784355165</v>
      </c>
      <c r="Y15" s="18">
        <v>2259644835</v>
      </c>
      <c r="Z15" s="18">
        <v>2259644835</v>
      </c>
      <c r="AA15" s="18">
        <v>2259644835</v>
      </c>
      <c r="AB15" s="18">
        <v>2259644835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150000000</v>
      </c>
      <c r="U16" s="18">
        <v>14279600000</v>
      </c>
      <c r="V16" s="18">
        <v>0</v>
      </c>
      <c r="W16" s="18">
        <v>10392093840.91</v>
      </c>
      <c r="X16" s="18">
        <v>3887506159.0900002</v>
      </c>
      <c r="Y16" s="18">
        <v>10392093840.91</v>
      </c>
      <c r="Z16" s="18">
        <v>10392093840.91</v>
      </c>
      <c r="AA16" s="18">
        <v>10392093840.91</v>
      </c>
      <c r="AB16" s="18">
        <v>10392093840.91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1210749204</v>
      </c>
      <c r="X17" s="18">
        <v>1789250796</v>
      </c>
      <c r="Y17" s="18">
        <v>1050371694.9299999</v>
      </c>
      <c r="Z17" s="18">
        <v>1049575184.9299999</v>
      </c>
      <c r="AA17" s="18">
        <v>1049575184.9299999</v>
      </c>
      <c r="AB17" s="18">
        <v>1049575184.9299999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4535652076</v>
      </c>
      <c r="T18" s="18">
        <v>0</v>
      </c>
      <c r="U18" s="18">
        <v>8535652076</v>
      </c>
      <c r="V18" s="18">
        <v>0</v>
      </c>
      <c r="W18" s="18">
        <v>8535652076</v>
      </c>
      <c r="X18" s="18">
        <v>0</v>
      </c>
      <c r="Y18" s="18">
        <v>5323896634.1199999</v>
      </c>
      <c r="Z18" s="18">
        <v>5116333976.1199999</v>
      </c>
      <c r="AA18" s="18">
        <v>5068134476.1199999</v>
      </c>
      <c r="AB18" s="18">
        <v>5068134476.1199999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3196300587.1399999</v>
      </c>
      <c r="Z19" s="18">
        <v>900051707.38999999</v>
      </c>
      <c r="AA19" s="18">
        <v>900051707.38999999</v>
      </c>
      <c r="AB19" s="18">
        <v>900051707.38999999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26017907</v>
      </c>
      <c r="T20" s="18">
        <v>0</v>
      </c>
      <c r="U20" s="18">
        <v>340748907</v>
      </c>
      <c r="V20" s="18">
        <v>0</v>
      </c>
      <c r="W20" s="18">
        <v>337002801</v>
      </c>
      <c r="X20" s="18">
        <v>3746106</v>
      </c>
      <c r="Y20" s="18">
        <v>336502801</v>
      </c>
      <c r="Z20" s="18">
        <v>336277956</v>
      </c>
      <c r="AA20" s="18">
        <v>336277956</v>
      </c>
      <c r="AB20" s="18">
        <v>336277956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425745271</v>
      </c>
      <c r="X21" s="18">
        <v>28154729</v>
      </c>
      <c r="Y21" s="18">
        <v>425745271</v>
      </c>
      <c r="Z21" s="18">
        <v>425745271</v>
      </c>
      <c r="AA21" s="18">
        <v>425745271</v>
      </c>
      <c r="AB21" s="18">
        <v>425745271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4714776588.3299999</v>
      </c>
      <c r="X22" s="18">
        <v>699.67</v>
      </c>
      <c r="Y22" s="18">
        <v>4696166539.8299999</v>
      </c>
      <c r="Z22" s="18">
        <v>3538509114.0700002</v>
      </c>
      <c r="AA22" s="18">
        <v>3523983114.0700002</v>
      </c>
      <c r="AB22" s="18">
        <v>3523983114.0700002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23223679470.75</v>
      </c>
      <c r="X23" s="18">
        <v>36139114.25</v>
      </c>
      <c r="Y23" s="18">
        <v>13242256380.41</v>
      </c>
      <c r="Z23" s="18">
        <v>8947423816.4799995</v>
      </c>
      <c r="AA23" s="18">
        <v>8884948398.6900005</v>
      </c>
      <c r="AB23" s="18">
        <v>8884948398.6900005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2602800995.5599999</v>
      </c>
      <c r="X24" s="18">
        <v>118803131.44</v>
      </c>
      <c r="Y24" s="18">
        <v>1247584653.8399999</v>
      </c>
      <c r="Z24" s="18">
        <v>80109971.420000002</v>
      </c>
      <c r="AA24" s="18">
        <v>80109971.420000002</v>
      </c>
      <c r="AB24" s="18">
        <v>80109971.420000002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honeticPr fontId="37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17.21875" bestFit="1" customWidth="1"/>
    <col min="3" max="3" width="10.6640625" bestFit="1" customWidth="1"/>
    <col min="4" max="4" width="11.6640625" bestFit="1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135673199100.43999</v>
      </c>
      <c r="C4" t="s">
        <v>145</v>
      </c>
      <c r="D4" s="13">
        <f t="shared" ref="D4:D15" si="0">B4</f>
        <v>135673199100.43999</v>
      </c>
      <c r="F4" s="78" t="s">
        <v>145</v>
      </c>
      <c r="G4" s="13">
        <v>127552001240.56999</v>
      </c>
      <c r="H4" t="s">
        <v>145</v>
      </c>
      <c r="I4" s="13">
        <f t="shared" ref="I4:I15" si="1">G4</f>
        <v>127552001240.56999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0.69868371082618841</v>
      </c>
      <c r="Q4" s="72">
        <f t="shared" ref="Q4:Q15" si="5">+I4/N4</f>
        <v>0.65686153301429018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135673199100.43999</v>
      </c>
      <c r="F17" s="78" t="s">
        <v>148</v>
      </c>
      <c r="G17">
        <v>127552001240.56999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19186007574.079998</v>
      </c>
      <c r="C23" t="str">
        <f t="shared" ref="C23:C34" si="6">A23</f>
        <v>Enero</v>
      </c>
      <c r="D23" s="13">
        <f t="shared" ref="D23:D34" si="7">B23</f>
        <v>19186007574.079998</v>
      </c>
      <c r="F23" s="78" t="s">
        <v>145</v>
      </c>
      <c r="G23" s="13">
        <v>12566042901.969999</v>
      </c>
      <c r="H23" t="str">
        <f t="shared" ref="H23:H34" si="8">F23</f>
        <v>Enero</v>
      </c>
      <c r="I23" s="13">
        <f t="shared" ref="I23:I34" si="9">G23</f>
        <v>12566042901.969999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0.6250287519002351</v>
      </c>
      <c r="Q23" s="72">
        <f t="shared" ref="Q23:Q34" si="13">+I23/N23</f>
        <v>0.40936802933164362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19186007574.079998</v>
      </c>
      <c r="F36" s="78" t="s">
        <v>148</v>
      </c>
      <c r="G36">
        <v>12566042901.969999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154859206674.51999</v>
      </c>
      <c r="E42" s="13">
        <v>140118044142.54001</v>
      </c>
      <c r="F42" t="str">
        <f t="shared" ref="F42:F53" si="14">B42</f>
        <v>Enero</v>
      </c>
      <c r="G42" s="72">
        <f>+GETPIVOTDATA("SCOMPROMISO",$B$41,"Mes","Enero")/GETPIVOTDATA(" APR. VIGENTE",$B$41,"Mes","Enero")</f>
        <v>0.68862979176139294</v>
      </c>
      <c r="H42" s="72">
        <f>+GETPIVOTDATA("SOBLIGACION",$B$41,"Mes","Enero")/GETPIVOTDATA(" APR. VIGENTE",$B$41,"Mes","Enero")</f>
        <v>0.62307861206270176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154859206674.51999</v>
      </c>
      <c r="E55">
        <v>140118044142.54001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0.69868371082618841</v>
      </c>
      <c r="L61" s="35">
        <f>'BASE OBL-COM'!Q4</f>
        <v>0.65686153301429018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0.6250287519002351</v>
      </c>
      <c r="L76" s="76">
        <f>'BASE OBL-COM'!Q23</f>
        <v>0.40936802933164362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0.62502875190023521</v>
      </c>
      <c r="F88" s="64">
        <f>+Ejecucion!D11/Ejecucion!B11</f>
        <v>0.40936802933164362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0.68862979176139294</v>
      </c>
      <c r="L92" s="76">
        <f>'BASE OBL-COM'!H42</f>
        <v>0.62307861206270176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