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2. Diciembre/"/>
    </mc:Choice>
  </mc:AlternateContent>
  <xr:revisionPtr revIDLastSave="63" documentId="14_{3C60A7A4-4415-4B71-8EB5-AC83B4C4B376}" xr6:coauthVersionLast="47" xr6:coauthVersionMax="47" xr10:uidLastSave="{F80D47D9-3A34-419B-A3B4-A586B8C0D58B}"/>
  <workbookProtection workbookAlgorithmName="SHA-512" workbookHashValue="W6hvubcBrkFLz6hpaytEZNS9AmBDKVLGvhIVDtPaBqqlibWko0Md9NBoJMJSfX+3U6vyzOI0LIVBBxURTWrkuQ==" workbookSaltValue="wLcMoC7qQl1tIftVibWbhA==" workbookSpinCount="100000" lockStructure="1"/>
  <bookViews>
    <workbookView xWindow="2868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39" r:id="rId8"/>
    <pivotCache cacheId="40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" i="3" l="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G3" i="10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52" i="32"/>
  <c r="C16" i="2"/>
  <c r="D16" i="2"/>
  <c r="G47" i="32"/>
  <c r="H50" i="32"/>
  <c r="G48" i="32"/>
  <c r="H53" i="32"/>
  <c r="C19" i="2"/>
  <c r="D17" i="2"/>
  <c r="B7" i="2"/>
  <c r="H42" i="32"/>
  <c r="B20" i="2"/>
  <c r="G43" i="32"/>
  <c r="C9" i="2"/>
  <c r="B18" i="2"/>
  <c r="G45" i="32"/>
  <c r="G44" i="32"/>
  <c r="H43" i="32"/>
  <c r="G53" i="32"/>
  <c r="D10" i="2"/>
  <c r="D20" i="2"/>
  <c r="C18" i="2"/>
  <c r="C10" i="2"/>
  <c r="G51" i="32"/>
  <c r="B17" i="2"/>
  <c r="C7" i="2"/>
  <c r="B9" i="2"/>
  <c r="B19" i="2"/>
  <c r="D7" i="2"/>
  <c r="B16" i="2"/>
  <c r="G46" i="32"/>
  <c r="B10" i="2"/>
  <c r="H47" i="32"/>
  <c r="H49" i="32"/>
  <c r="H48" i="32"/>
  <c r="C17" i="2"/>
  <c r="H52" i="32"/>
  <c r="H44" i="32"/>
  <c r="H46" i="32"/>
  <c r="G50" i="32"/>
  <c r="H51" i="32"/>
  <c r="H45" i="32"/>
  <c r="D18" i="2"/>
  <c r="G49" i="32"/>
  <c r="D19" i="2"/>
  <c r="C20" i="2"/>
  <c r="G42" i="32"/>
  <c r="D9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D24" i="32"/>
  <c r="P24" i="32" s="1"/>
  <c r="K77" i="11" s="1"/>
  <c r="D25" i="32"/>
  <c r="P25" i="32" s="1"/>
  <c r="K78" i="11" s="1"/>
  <c r="D26" i="32"/>
  <c r="D27" i="32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D11" i="32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10" i="32" l="1"/>
  <c r="K67" i="11" s="1"/>
  <c r="P23" i="32"/>
  <c r="K76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D92" i="11" a="1"/>
  <c r="D92" i="11" s="1"/>
  <c r="I76" i="11" a="1"/>
  <c r="I76" i="11" s="1"/>
  <c r="H76" i="11" a="1"/>
  <c r="H76" i="11" s="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E70" i="11"/>
  <c r="I83" i="11"/>
  <c r="E84" i="11"/>
  <c r="E82" i="11"/>
  <c r="H97" i="11"/>
  <c r="E81" i="11"/>
  <c r="E80" i="11"/>
  <c r="I103" i="11"/>
  <c r="E71" i="11"/>
  <c r="E79" i="11"/>
  <c r="I102" i="11"/>
  <c r="I101" i="11"/>
  <c r="I100" i="11"/>
  <c r="H82" i="11"/>
  <c r="H102" i="11"/>
  <c r="E86" i="11"/>
  <c r="E85" i="11"/>
  <c r="H98" i="11"/>
  <c r="H86" i="11"/>
  <c r="I99" i="11"/>
  <c r="H101" i="11"/>
  <c r="H100" i="11"/>
  <c r="H99" i="11"/>
  <c r="E83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102" i="11"/>
  <c r="F101" i="11"/>
  <c r="F96" i="11"/>
  <c r="H81" i="11"/>
  <c r="I96" i="11"/>
  <c r="I95" i="11"/>
  <c r="I87" i="11"/>
  <c r="I94" i="11"/>
  <c r="I93" i="11"/>
  <c r="H96" i="11"/>
  <c r="H95" i="11"/>
  <c r="H94" i="11"/>
  <c r="H93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0" i="11" l="1"/>
  <c r="F98" i="11"/>
  <c r="F103" i="11"/>
  <c r="F97" i="11"/>
  <c r="F94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<sst xmlns="http://schemas.openxmlformats.org/spreadsheetml/2006/main" count="2303" uniqueCount="205">
  <si>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</si>
  <si>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</si>
  <si>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</si>
  <si>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</si>
  <si>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</si>
  <si>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</si>
  <si>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</si>
  <si>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</si>
  <si>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</si>
  <si>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</si>
  <si>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</si>
  <si>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</si>
  <si>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</si>
  <si>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</si>
  <si>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</si>
  <si>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</si>
  <si>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</si>
  <si>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</si>
  <si>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</si>
  <si>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</si>
  <si>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</si>
  <si>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</si>
  <si>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</si>
  <si>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</si>
  <si>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</si>
  <si>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</si>
  <si>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</si>
  <si>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</si>
  <si>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</si>
  <si>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</si>
  <si>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</si>
  <si>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</si>
  <si>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</si>
  <si>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</si>
  <si>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</si>
  <si>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</si>
  <si>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</si>
  <si>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</si>
  <si>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</si>
  <si>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</si>
  <si>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</si>
  <si>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</si>
  <si>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</si>
  <si>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</si>
  <si>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</si>
  <si>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</si>
  <si>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</si>
  <si>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</si>
  <si>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</si>
  <si>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</si>
  <si>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</si>
  <si>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</si>
  <si>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</si>
  <si>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</si>
  <si>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</si>
  <si>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</si>
  <si>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</si>
  <si>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</si>
  <si>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</si>
  <si>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</si>
  <si>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</si>
  <si>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</si>
  <si>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</si>
  <si>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</si>
  <si>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</si>
  <si>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</si>
  <si>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</si>
  <si>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</si>
  <si>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</si>
  <si>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</si>
  <si>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</si>
  <si>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</si>
  <si>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</si>
  <si>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</si>
  <si>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</si>
  <si>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</si>
  <si>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</si>
  <si>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</si>
  <si>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</si>
  <si>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</si>
  <si>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</si>
  <si>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</si>
  <si>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</si>
  <si>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</si>
  <si>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</si>
  <si>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</si>
  <si>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</si>
  <si>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</si>
  <si>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</si>
  <si>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</si>
  <si>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</si>
  <si>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</si>
  <si>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</si>
  <si>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</si>
  <si>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</si>
  <si>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</si>
  <si>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</si>
  <si>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</si>
  <si>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</si>
  <si>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</si>
  <si>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</si>
  <si>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</si>
  <si>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</si>
  <si>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</si>
  <si>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</si>
  <si>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</si>
  <si>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</si>
  <si>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</si>
  <si>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</si>
  <si>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</si>
  <si>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</si>
  <si>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</si>
  <si>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</si>
  <si>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</si>
  <si>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</si>
  <si>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</si>
  <si>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</si>
  <si>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</si>
  <si>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</si>
  <si>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</si>
  <si>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</si>
  <si>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</si>
  <si>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</si>
  <si>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</si>
  <si>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</si>
  <si>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</si>
  <si>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</si>
  <si>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</si>
  <si>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</si>
  <si>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</si>
  <si>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</si>
  <si>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</si>
  <si>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</si>
  <si>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</si>
  <si>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</si>
  <si>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</si>
  <si>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</si>
  <si>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</si>
  <si>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</si>
  <si>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</si>
  <si>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</si>
  <si>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</si>
  <si>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</si>
  <si>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</si>
  <si>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</si>
  <si>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</si>
  <si>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</si>
  <si>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</si>
  <si>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</si>
  <si>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</si>
  <si>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</si>
  <si>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</si>
  <si>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</si>
  <si>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</si>
  <si>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</si>
  <si>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</si>
  <si>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</si>
  <si>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</si>
  <si>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</si>
  <si>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</si>
  <si>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</si>
  <si>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</si>
  <si>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</si>
  <si>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</si>
  <si>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</si>
  <si>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</si>
  <si>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</si>
  <si>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</si>
  <si>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</si>
  <si>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</si>
  <si>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</si>
  <si>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</si>
  <si>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</si>
  <si>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</si>
  <si>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</si>
  <si>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</si>
  <si>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</si>
  <si>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</si>
  <si>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</si>
  <si>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</si>
  <si>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</si>
  <si>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</si>
  <si>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</si>
  <si>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</si>
  <si>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</si>
  <si>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</si>
  <si>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</si>
  <si>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</si>
  <si>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</si>
  <si>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</si>
  <si>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</si>
  <si>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</si>
  <si>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</si>
  <si>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</si>
  <si>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</si>
  <si>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</si>
  <si>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</si>
  <si>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</si>
  <si>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</si>
  <si>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</si>
  <si>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</si>
  <si>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</si>
  <si>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</t>
  </si>
  <si>
    <t xml:space="preserve">2024 ( Millones) </t>
  </si>
  <si>
    <t xml:space="preserve">EJECUCIÓN PRESUPUESTAL 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</si>
</sst>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  <font>
      <sz val="8"/>
      <name val="Franklin Gothic Book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6036.666411342594" createdVersion="6" refreshedVersion="8" minRefreshableVersion="3" recordCount="282" xr:uid="{00000000-000A-0000-FFFF-FFFF2B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7350764019"/>
    </cacheField>
    <cacheField name="APR. REDUCIDA" numFmtId="0">
      <sharedItems containsString="0" containsBlank="1" containsNumber="1" containsInteger="1" minValue="0" maxValue="12059226400"/>
    </cacheField>
    <cacheField name="APR. VIGENTE" numFmtId="0">
      <sharedItems containsString="0" containsBlank="1" containsNumber="1" containsInteger="1" minValue="0" maxValue="79326471120"/>
    </cacheField>
    <cacheField name="APR BLOQUEADA" numFmtId="0">
      <sharedItems containsString="0" containsBlank="1" containsNumber="1" containsInteger="1" minValue="0" maxValue="6030773600"/>
    </cacheField>
    <cacheField name="CDP" numFmtId="0">
      <sharedItems containsString="0" containsBlank="1" containsNumber="1" minValue="0" maxValue="79326471120"/>
    </cacheField>
    <cacheField name="APR. DISPONIBLE" numFmtId="0">
      <sharedItems containsString="0" containsBlank="1" containsNumber="1" minValue="0" maxValue="1789250796"/>
    </cacheField>
    <cacheField name="COMPROMISO" numFmtId="0">
      <sharedItems containsString="0" containsBlank="1" containsNumber="1" minValue="0" maxValue="76594049681.899994"/>
    </cacheField>
    <cacheField name="OBLIGACION" numFmtId="0">
      <sharedItems containsString="0" containsBlank="1" containsNumber="1" minValue="0" maxValue="76594049681.899994"/>
    </cacheField>
    <cacheField name="ORDEN PAGO" numFmtId="0">
      <sharedItems containsString="0" containsBlank="1" containsNumber="1" minValue="0" maxValue="76592376967.899994"/>
    </cacheField>
    <cacheField name="PAGOS" numFmtId="0">
      <sharedItems containsString="0" containsBlank="1" containsNumber="1" minValue="0" maxValue="76592376967.899994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6036.666411921295" createdVersion="6" refreshedVersion="8" minRefreshableVersion="3" recordCount="12" xr:uid="{00000000-000A-0000-FFFF-FFFF2C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92133422550375688" maxValue="0.92133422550375688"/>
    </cacheField>
    <cacheField name="ACTUAL-OBLIGADO" numFmtId="168">
      <sharedItems containsMixedTypes="1" containsNumber="1" minValue="0.90802381692844081" maxValue="0.908023816928440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7350764019"/>
    <n v="798282899"/>
    <n v="79326471120"/>
    <n v="0"/>
    <n v="79326471120"/>
    <n v="0"/>
    <n v="76594049681.899994"/>
    <n v="76594049681.899994"/>
    <n v="76592376967.899994"/>
    <n v="76592376967.899994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749980026"/>
    <n v="0"/>
    <n v="29166706026"/>
    <n v="0"/>
    <n v="29166706026"/>
    <n v="0"/>
    <n v="29129407158"/>
    <n v="29129407158"/>
    <n v="29129407158"/>
    <n v="29129407158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5734193505"/>
    <n v="700000000"/>
    <n v="23662385505"/>
    <n v="0"/>
    <n v="23662385505"/>
    <n v="0"/>
    <n v="21580385901"/>
    <n v="21580385901"/>
    <n v="21580385901"/>
    <n v="21580385901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7349947000"/>
    <n v="0"/>
    <n v="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75081107"/>
    <n v="75081107"/>
    <n v="75081107"/>
    <n v="75081107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25385471"/>
    <n v="25385471"/>
    <n v="25385471"/>
    <n v="25385471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15339863"/>
    <n v="15339863"/>
    <n v="15339863"/>
    <n v="15339863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2881160583"/>
    <n v="0"/>
    <n v="20813327583"/>
    <n v="0"/>
    <n v="20645940406.16"/>
    <n v="167387176.84"/>
    <n v="20465696166.5"/>
    <n v="20022778882.09"/>
    <n v="18495504903.099998"/>
    <n v="18495504903.099998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12059226400"/>
    <n v="6030773600"/>
    <n v="60307736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180093183"/>
    <n v="0"/>
    <n v="628593183"/>
    <n v="0"/>
    <n v="448228951.44"/>
    <n v="180364231.56"/>
    <n v="448228951.43000001"/>
    <n v="448228951.43000001"/>
    <n v="448228951.43000001"/>
    <n v="448228951.43000001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487405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475766967"/>
    <n v="474085221"/>
    <n v="474085221"/>
    <n v="474085221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7117500"/>
    <n v="7117500"/>
    <n v="7117500"/>
    <n v="71175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87000000"/>
    <n v="0"/>
    <n v="3131000000"/>
    <n v="0"/>
    <n v="3059834320"/>
    <n v="71165680"/>
    <n v="3059834320"/>
    <n v="3059834320"/>
    <n v="3059834320"/>
    <n v="3059834320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150000000"/>
    <n v="14279600000"/>
    <n v="0"/>
    <n v="13799395640.379999"/>
    <n v="480204359.62"/>
    <n v="13799395640.379999"/>
    <n v="13799395640.379999"/>
    <n v="13799395640.379999"/>
    <n v="13799395640.379999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210749204"/>
    <n v="1789250796"/>
    <n v="1166856307.9300001"/>
    <n v="1166856307.9300001"/>
    <n v="1166856307.9300001"/>
    <n v="1166856307.9300001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4535652076"/>
    <n v="0"/>
    <n v="8535652076"/>
    <n v="0"/>
    <n v="8535652076"/>
    <n v="0"/>
    <n v="7908799617.4099998"/>
    <n v="7515858063.4099998"/>
    <n v="7249119023.4099998"/>
    <n v="7249119023.4099998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97000000"/>
    <n v="0"/>
    <n v="3394701463.54"/>
    <n v="1647573642.54"/>
    <n v="1647573642.54"/>
    <n v="1647573642.54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26017907"/>
    <n v="0"/>
    <n v="340748907"/>
    <n v="0"/>
    <n v="337321998.37"/>
    <n v="3426908.63"/>
    <n v="336575700.80000001"/>
    <n v="336575700.80000001"/>
    <n v="336575700.80000001"/>
    <n v="336575700.80000001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425745271"/>
    <n v="28154729"/>
    <n v="425745271"/>
    <n v="425745271"/>
    <n v="425745271"/>
    <n v="425745271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713336788.3299999"/>
    <n v="1440499.67"/>
    <n v="4709083406.5"/>
    <n v="4637614562.5699997"/>
    <n v="4622822047.5699997"/>
    <n v="4622822047.5699997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23255394428.52"/>
    <n v="4424156.4800000004"/>
    <n v="23169018702.029999"/>
    <n v="22213901003.48"/>
    <n v="17768142825.669998"/>
    <n v="17768142825.669998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2632702904.1700001"/>
    <n v="88901222.829999998"/>
    <n v="2556288162.9200001"/>
    <n v="1552173423.9100001"/>
    <n v="909818177.72000003"/>
    <n v="909818177.72000003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92133422550375688"/>
    <n v="0.90802381692844081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4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39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topLeftCell="A2" zoomScale="84" zoomScaleNormal="98" zoomScaleSheetLayoutView="84" workbookViewId="0">
      <selection activeCell="A20" sqref="A20"/>
    </sheetView>
  </sheetViews>
  <sheetFormatPr baseColWidth="10" defaultColWidth="11.5546875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204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23.25">
      <c r="A6" s="90" t="s">
        <v>117</v>
      </c>
      <c r="B6" s="101">
        <f t="shared" ref="B6:G6" si="0">+B7</f>
        <v>4714777288</v>
      </c>
      <c r="C6" s="101">
        <f t="shared" si="0"/>
        <v>4709083406.5</v>
      </c>
      <c r="D6" s="101">
        <f t="shared" si="0"/>
        <v>4637614562.5699997</v>
      </c>
      <c r="E6" s="101">
        <f t="shared" si="0"/>
        <v>5693881.5</v>
      </c>
      <c r="F6" s="102">
        <f t="shared" si="0"/>
        <v>0.99879233288187508</v>
      </c>
      <c r="G6" s="102">
        <f t="shared" si="0"/>
        <v>0.98363385570164807</v>
      </c>
    </row>
    <row r="7" spans="1:12" ht="57">
      <c r="A7" s="91" t="s">
        <v>118</v>
      </c>
      <c r="B7" s="103">
        <f>GETPIVOTDATA("Suma de APR. VIGENTE",CRIS!$A$3,"CM - A","C3")</f>
        <v>4714777288</v>
      </c>
      <c r="C7" s="103">
        <f>GETPIVOTDATA("Suma de COMPROMISO",CRIS!$A$3,"CM - A","C3")</f>
        <v>4709083406.5</v>
      </c>
      <c r="D7" s="103">
        <f>GETPIVOTDATA("Suma de OBLIGACION",CRIS!$A$3,"CM - A","C3")</f>
        <v>4637614562.5699997</v>
      </c>
      <c r="E7" s="104">
        <f>+B7-C7</f>
        <v>5693881.5</v>
      </c>
      <c r="F7" s="105">
        <f>+C7/B7</f>
        <v>0.99879233288187508</v>
      </c>
      <c r="G7" s="106">
        <f>+D7/B7</f>
        <v>0.98363385570164807</v>
      </c>
    </row>
    <row r="8" spans="1:12" ht="36">
      <c r="A8" s="90" t="s">
        <v>119</v>
      </c>
      <c r="B8" s="101">
        <f>SUM(B9:B10)</f>
        <v>25981422712</v>
      </c>
      <c r="C8" s="101">
        <f>SUM(C9:C10)</f>
        <v>25725306864.949997</v>
      </c>
      <c r="D8" s="101">
        <f>SUM(D9:D10)</f>
        <v>23766074427.389999</v>
      </c>
      <c r="E8" s="101">
        <f>SUM(E9:E10)</f>
        <v>256115847.05000114</v>
      </c>
      <c r="F8" s="107">
        <f>+C8/B8</f>
        <v>0.99014234709588433</v>
      </c>
      <c r="G8" s="108">
        <f>+D8/B8</f>
        <v>0.9147333727961402</v>
      </c>
    </row>
    <row r="9" spans="1:12" ht="57">
      <c r="A9" s="92" t="s">
        <v>201</v>
      </c>
      <c r="B9" s="103">
        <f>GETPIVOTDATA("Suma de APR. VIGENTE",CRIS!$A$3,"CM - A","C11")</f>
        <v>23259818585</v>
      </c>
      <c r="C9" s="103">
        <f>GETPIVOTDATA("Suma de COMPROMISO",CRIS!$A$3,"CM - A","C11")</f>
        <v>23169018702.029999</v>
      </c>
      <c r="D9" s="103">
        <f>GETPIVOTDATA("Suma de OBLIGACION",CRIS!$A$3,"CM - A","C11")</f>
        <v>22213901003.48</v>
      </c>
      <c r="E9" s="103">
        <f>+B9-C9</f>
        <v>90799882.970001221</v>
      </c>
      <c r="F9" s="105">
        <f>+C9/B9</f>
        <v>0.99609627725004879</v>
      </c>
      <c r="G9" s="109">
        <f>+D9/B9</f>
        <v>0.95503328722458303</v>
      </c>
    </row>
    <row r="10" spans="1:12" ht="57.75" thickBot="1">
      <c r="A10" s="92" t="s">
        <v>200</v>
      </c>
      <c r="B10" s="103">
        <f>GETPIVOTDATA("Suma de APR. VIGENTE",CRIS!$A$3,"CM - A","C12")</f>
        <v>2721604127</v>
      </c>
      <c r="C10" s="103">
        <f>GETPIVOTDATA("Suma de COMPROMISO",CRIS!$A$3,"CM - A","C12")</f>
        <v>2556288162.9200001</v>
      </c>
      <c r="D10" s="103">
        <f>GETPIVOTDATA("Suma de OBLIGACION",CRIS!$A$3,"CM - A","C12")</f>
        <v>1552173423.9100001</v>
      </c>
      <c r="E10" s="103">
        <f>+B10-C10</f>
        <v>165315964.07999992</v>
      </c>
      <c r="F10" s="105">
        <f>+C10/B10</f>
        <v>0.9392578948422502</v>
      </c>
      <c r="G10" s="109">
        <f>+D10/B10</f>
        <v>0.57031564896285891</v>
      </c>
    </row>
    <row r="11" spans="1:12" ht="37.5" customHeight="1" thickBot="1">
      <c r="A11" s="93" t="s">
        <v>120</v>
      </c>
      <c r="B11" s="101">
        <f>+B6+B8</f>
        <v>30696200000</v>
      </c>
      <c r="C11" s="101">
        <f>+C6+C8</f>
        <v>30434390271.449997</v>
      </c>
      <c r="D11" s="101">
        <f>+D6+D8</f>
        <v>28403688989.959999</v>
      </c>
      <c r="E11" s="101">
        <f>+E6+E8</f>
        <v>261809728.55000114</v>
      </c>
      <c r="F11" s="107">
        <f>+C11/B11</f>
        <v>0.99147094009844861</v>
      </c>
      <c r="G11" s="108">
        <f>+D11/B11</f>
        <v>0.92531613000827462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194184002000</v>
      </c>
      <c r="C15" s="110">
        <f>SUM(C16:C20)</f>
        <v>178908367087.88998</v>
      </c>
      <c r="D15" s="110">
        <f>SUM(D16:D20)</f>
        <v>176323698682.47998</v>
      </c>
      <c r="E15" s="110">
        <f>SUM(E16:E20)</f>
        <v>15275634912.110008</v>
      </c>
      <c r="F15" s="111">
        <f t="shared" ref="F15:F21" si="1">+C15/B15</f>
        <v>0.92133422550375688</v>
      </c>
      <c r="G15" s="112">
        <f t="shared" ref="G15:G21" si="2">+D15/B15</f>
        <v>0.90802381692844081</v>
      </c>
    </row>
    <row r="16" spans="1:12" ht="23.25">
      <c r="A16" s="95" t="s">
        <v>124</v>
      </c>
      <c r="B16" s="113">
        <f>GETPIVOTDATA("Suma de APR. VIGENTE",CRIS!$A$3,"CM - A","A01")</f>
        <v>132683406651</v>
      </c>
      <c r="C16" s="113">
        <f>GETPIVOTDATA("Suma de COMPROMISO",CRIS!$A$3,"CM - A","A01")</f>
        <v>127419649181.89999</v>
      </c>
      <c r="D16" s="113">
        <f>GETPIVOTDATA("Suma de OBLIGACION",CRIS!$A$3,"CM - A","A01")</f>
        <v>127419649181.89999</v>
      </c>
      <c r="E16" s="103">
        <f>+B16-C16</f>
        <v>5263757469.1000061</v>
      </c>
      <c r="F16" s="105">
        <f t="shared" si="1"/>
        <v>0.96032844195095635</v>
      </c>
      <c r="G16" s="109">
        <f t="shared" si="2"/>
        <v>0.96032844195095635</v>
      </c>
    </row>
    <row r="17" spans="1:7" ht="23.25">
      <c r="A17" s="95" t="s">
        <v>125</v>
      </c>
      <c r="B17" s="113">
        <f>GETPIVOTDATA("Suma de APR. VIGENTE",CRIS!$A$3,"CM - A","A02")</f>
        <v>20813327583</v>
      </c>
      <c r="C17" s="113">
        <f>GETPIVOTDATA("Suma de COMPROMISO",CRIS!$A$3,"CM - A","A02")</f>
        <v>20465696166.5</v>
      </c>
      <c r="D17" s="113">
        <f>GETPIVOTDATA("Suma de OBLIGACION",CRIS!$A$3,"CM - A","A02")</f>
        <v>20022778882.09</v>
      </c>
      <c r="E17" s="103">
        <f>+B17-C17</f>
        <v>347631416.5</v>
      </c>
      <c r="F17" s="105">
        <f t="shared" si="1"/>
        <v>0.98329765314490414</v>
      </c>
      <c r="G17" s="109">
        <f t="shared" si="2"/>
        <v>0.96201718837329464</v>
      </c>
    </row>
    <row r="18" spans="1:7" ht="23.25">
      <c r="A18" s="95" t="s">
        <v>126</v>
      </c>
      <c r="B18" s="113">
        <f>GETPIVOTDATA("Suma de APR. VIGENTE",CRIS!$A$3,"CM - A","A03")</f>
        <v>36395618859</v>
      </c>
      <c r="C18" s="113">
        <f>GETPIVOTDATA("Suma de COMPROMISO",CRIS!$A$3,"CM - A","A03")</f>
        <v>26865999304.149998</v>
      </c>
      <c r="D18" s="113">
        <f>GETPIVOTDATA("Suma de OBLIGACION",CRIS!$A$3,"CM - A","A03")</f>
        <v>26471376004.149998</v>
      </c>
      <c r="E18" s="103">
        <f>+B18-C18</f>
        <v>9529619554.8500023</v>
      </c>
      <c r="F18" s="105">
        <f t="shared" si="1"/>
        <v>0.73816575034020904</v>
      </c>
      <c r="G18" s="109">
        <f t="shared" si="2"/>
        <v>0.72732314586276336</v>
      </c>
    </row>
    <row r="19" spans="1:7" ht="23.25">
      <c r="A19" s="95" t="s">
        <v>127</v>
      </c>
      <c r="B19" s="113">
        <f>GETPIVOTDATA("Suma de APR. VIGENTE",CRIS!$A$3,"CM - A","A06")</f>
        <v>3497000000</v>
      </c>
      <c r="C19" s="113">
        <f>GETPIVOTDATA("Suma de COMPROMISO",CRIS!$A$3,"CM - A","A06")</f>
        <v>3394701463.54</v>
      </c>
      <c r="D19" s="113">
        <f>GETPIVOTDATA("Suma de OBLIGACION",CRIS!$A$3,"CM - A","A06")</f>
        <v>1647573642.54</v>
      </c>
      <c r="E19" s="103">
        <f>+B19-C19</f>
        <v>102298536.46000004</v>
      </c>
      <c r="F19" s="105">
        <f t="shared" si="1"/>
        <v>0.9707467725307406</v>
      </c>
      <c r="G19" s="109">
        <f t="shared" si="2"/>
        <v>0.4711391600057192</v>
      </c>
    </row>
    <row r="20" spans="1:7" ht="24" thickBot="1">
      <c r="A20" s="95" t="s">
        <v>128</v>
      </c>
      <c r="B20" s="113">
        <f>GETPIVOTDATA("Suma de APR. VIGENTE",CRIS!$A$3,"CM - A","A08")</f>
        <v>794648907</v>
      </c>
      <c r="C20" s="113">
        <f>GETPIVOTDATA("Suma de COMPROMISO",CRIS!$A$3,"CM - A","A08")</f>
        <v>762320971.79999995</v>
      </c>
      <c r="D20" s="113">
        <f>GETPIVOTDATA("Suma de OBLIGACION",CRIS!$A$3,"CM - A","A08")</f>
        <v>762320971.79999995</v>
      </c>
      <c r="E20" s="103">
        <f>+B20-C20</f>
        <v>32327935.200000048</v>
      </c>
      <c r="F20" s="105">
        <f t="shared" si="1"/>
        <v>0.95931796430445471</v>
      </c>
      <c r="G20" s="109">
        <f t="shared" si="2"/>
        <v>0.95931796430445471</v>
      </c>
    </row>
    <row r="21" spans="1:7" ht="21" thickBot="1">
      <c r="A21" s="96" t="s">
        <v>129</v>
      </c>
      <c r="B21" s="114">
        <f>SUM(B16:B20)</f>
        <v>194184002000</v>
      </c>
      <c r="C21" s="114">
        <f>SUM(C16:C20)</f>
        <v>178908367087.88998</v>
      </c>
      <c r="D21" s="114">
        <f>SUM(D16:D20)</f>
        <v>176323698682.47998</v>
      </c>
      <c r="E21" s="114">
        <f>SUM(E16:E20)</f>
        <v>15275634912.110008</v>
      </c>
      <c r="F21" s="115">
        <f t="shared" si="1"/>
        <v>0.92133422550375688</v>
      </c>
      <c r="G21" s="115">
        <f t="shared" si="2"/>
        <v>0.90802381692844081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224880202000</v>
      </c>
      <c r="C23" s="114">
        <f>+C21+C11</f>
        <v>209342757359.33997</v>
      </c>
      <c r="D23" s="114">
        <f>+D21+D11</f>
        <v>204727387672.43997</v>
      </c>
      <c r="E23" s="114">
        <f>+E21+E11</f>
        <v>15537444640.660009</v>
      </c>
      <c r="F23" s="115">
        <f>+C23/B23</f>
        <v>0.93090790339711615</v>
      </c>
      <c r="G23" s="115">
        <f>+D23/B23</f>
        <v>0.91038422169524724</v>
      </c>
    </row>
    <row r="30" spans="1:7">
      <c r="F30" s="99"/>
    </row>
    <row r="31" spans="1:7">
      <c r="F31" s="100"/>
    </row>
  </sheetData>
  <sheetProtection algorithmName="SHA-512" hashValue="h37ANb90oe2Y+akb5ab4EYNY4XyFA479weOTJZRWlV6myGNqK1qtZD83z+eVx3PhvEVqW/NjUJ7ctYr3P5sKPQ==" saltValue="xTME5TRs2+ddIJDv4UNQKw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G7" sqref="G7"/>
    </sheetView>
  </sheetViews>
  <sheetFormatPr baseColWidth="10" defaultRowHeight="15"/>
  <cols>
    <col min="1" max="1" width="13.6640625" bestFit="1" customWidth="1"/>
    <col min="2" max="2" width="16.6640625" bestFit="1" customWidth="1"/>
    <col min="3" max="3" width="17.21875" bestFit="1" customWidth="1"/>
    <col min="4" max="4" width="15.88671875" bestFit="1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46036</v>
      </c>
      <c r="H3" t="str">
        <f ca="1">TEXT(G3,"MMMM")</f>
        <v>enero</v>
      </c>
      <c r="I3" s="119"/>
    </row>
    <row r="4" spans="1:9">
      <c r="A4" s="82"/>
      <c r="B4" s="83"/>
      <c r="C4" s="83"/>
      <c r="D4" s="83"/>
      <c r="G4" t="s">
        <v>202</v>
      </c>
    </row>
    <row r="5" spans="1:9">
      <c r="A5" s="82" t="s">
        <v>137</v>
      </c>
      <c r="B5" s="83">
        <v>132683406651</v>
      </c>
      <c r="C5" s="83">
        <v>127419649181.89999</v>
      </c>
      <c r="D5" s="83">
        <v>127419649181.89999</v>
      </c>
      <c r="G5" t="s">
        <v>203</v>
      </c>
    </row>
    <row r="6" spans="1:9">
      <c r="A6" s="82" t="s">
        <v>138</v>
      </c>
      <c r="B6" s="83">
        <v>20813327583</v>
      </c>
      <c r="C6" s="83">
        <v>20465696166.5</v>
      </c>
      <c r="D6" s="83">
        <v>20022778882.09</v>
      </c>
      <c r="G6" t="str">
        <f ca="1">CONCATENATE(G4," ",H3," ",G5)</f>
        <v xml:space="preserve">EJECUCIÓN PRESUPUESTAL  enero 2024 ( Millones) </v>
      </c>
    </row>
    <row r="7" spans="1:9">
      <c r="A7" s="82" t="s">
        <v>139</v>
      </c>
      <c r="B7" s="83">
        <v>36395618859</v>
      </c>
      <c r="C7" s="83">
        <v>26865999304.149998</v>
      </c>
      <c r="D7" s="83">
        <v>26471376004.149998</v>
      </c>
    </row>
    <row r="8" spans="1:9">
      <c r="A8" s="82" t="s">
        <v>140</v>
      </c>
      <c r="B8" s="83">
        <v>3497000000</v>
      </c>
      <c r="C8" s="83">
        <v>3394701463.54</v>
      </c>
      <c r="D8" s="83">
        <v>1647573642.54</v>
      </c>
    </row>
    <row r="9" spans="1:9">
      <c r="A9" s="82" t="s">
        <v>143</v>
      </c>
      <c r="B9" s="83">
        <v>794648907</v>
      </c>
      <c r="C9" s="83">
        <v>762320971.79999995</v>
      </c>
      <c r="D9" s="83">
        <v>762320971.79999995</v>
      </c>
    </row>
    <row r="10" spans="1:9" ht="15.75">
      <c r="A10" s="82" t="s">
        <v>155</v>
      </c>
      <c r="B10" s="83">
        <v>23259818585</v>
      </c>
      <c r="C10" s="83">
        <v>23169018702.029999</v>
      </c>
      <c r="D10" s="83">
        <v>22213901003.48</v>
      </c>
      <c r="G10" s="14"/>
    </row>
    <row r="11" spans="1:9">
      <c r="A11" s="82" t="s">
        <v>156</v>
      </c>
      <c r="B11" s="83">
        <v>2721604127</v>
      </c>
      <c r="C11" s="83">
        <v>2556288162.9200001</v>
      </c>
      <c r="D11" s="83">
        <v>1552173423.9100001</v>
      </c>
    </row>
    <row r="12" spans="1:9">
      <c r="A12" s="82" t="s">
        <v>154</v>
      </c>
      <c r="B12" s="83">
        <v>4714777288</v>
      </c>
      <c r="C12" s="83">
        <v>4709083406.5</v>
      </c>
      <c r="D12" s="83">
        <v>4637614562.5699997</v>
      </c>
    </row>
    <row r="13" spans="1:9">
      <c r="A13" s="82" t="s">
        <v>148</v>
      </c>
      <c r="B13" s="83">
        <v>224880202000</v>
      </c>
      <c r="C13" s="83">
        <v>209342757359.34</v>
      </c>
      <c r="D13" s="83">
        <v>204727387672.44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B1" zoomScale="80" zoomScaleNormal="80" workbookViewId="0">
      <pane ySplit="1" topLeftCell="A16" activePane="bottomLeft" state="frozen"/>
      <selection activeCell="B1" sqref="B1"/>
      <selection pane="bottomLeft" activeCell="T23" sqref="T23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6.33203125" style="20" customWidth="1"/>
    <col min="20" max="20" width="15.2187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7350764019</v>
      </c>
      <c r="T2" s="18">
        <v>798282899</v>
      </c>
      <c r="U2" s="19">
        <v>79326471120</v>
      </c>
      <c r="V2" s="18">
        <v>0</v>
      </c>
      <c r="W2" s="18">
        <v>79326471120</v>
      </c>
      <c r="X2" s="18">
        <v>0</v>
      </c>
      <c r="Y2" s="18">
        <v>76594049681.899994</v>
      </c>
      <c r="Z2" s="18">
        <v>76594049681.899994</v>
      </c>
      <c r="AA2" s="18">
        <v>76592376967.899994</v>
      </c>
      <c r="AB2" s="18">
        <v>76592376967.899994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749980026</v>
      </c>
      <c r="T3" s="18">
        <v>0</v>
      </c>
      <c r="U3" s="19">
        <v>29166706026</v>
      </c>
      <c r="V3" s="18">
        <v>0</v>
      </c>
      <c r="W3" s="18">
        <v>29166706026</v>
      </c>
      <c r="X3" s="18">
        <v>0</v>
      </c>
      <c r="Y3" s="18">
        <v>29129407158</v>
      </c>
      <c r="Z3" s="18">
        <v>29129407158</v>
      </c>
      <c r="AA3" s="18">
        <v>29129407158</v>
      </c>
      <c r="AB3" s="18">
        <v>29129407158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5734193505</v>
      </c>
      <c r="T4" s="18">
        <v>700000000</v>
      </c>
      <c r="U4" s="19">
        <v>23662385505</v>
      </c>
      <c r="V4" s="18">
        <v>0</v>
      </c>
      <c r="W4" s="18">
        <v>23662385505</v>
      </c>
      <c r="X4" s="18">
        <v>0</v>
      </c>
      <c r="Y4" s="18">
        <v>21580385901</v>
      </c>
      <c r="Z4" s="18">
        <v>21580385901</v>
      </c>
      <c r="AA4" s="18">
        <v>21580385901</v>
      </c>
      <c r="AB4" s="18">
        <v>21580385901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7349947000</v>
      </c>
      <c r="U5" s="19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75081107</v>
      </c>
      <c r="Z6" s="18">
        <v>75081107</v>
      </c>
      <c r="AA6" s="18">
        <v>75081107</v>
      </c>
      <c r="AB6" s="18">
        <v>75081107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25385471</v>
      </c>
      <c r="Z7" s="18">
        <v>25385471</v>
      </c>
      <c r="AA7" s="18">
        <v>25385471</v>
      </c>
      <c r="AB7" s="18">
        <v>25385471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15339863</v>
      </c>
      <c r="Z8" s="18">
        <v>15339863</v>
      </c>
      <c r="AA8" s="18">
        <v>15339863</v>
      </c>
      <c r="AB8" s="18">
        <v>15339863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2881160583</v>
      </c>
      <c r="T9" s="18">
        <v>0</v>
      </c>
      <c r="U9" s="18">
        <v>20813327583</v>
      </c>
      <c r="V9" s="18">
        <v>0</v>
      </c>
      <c r="W9" s="18">
        <v>20645940406.16</v>
      </c>
      <c r="X9" s="18">
        <v>167387176.84</v>
      </c>
      <c r="Y9" s="18">
        <v>20465696166.5</v>
      </c>
      <c r="Z9" s="18">
        <v>20022778882.09</v>
      </c>
      <c r="AA9" s="18">
        <v>18495504903.099998</v>
      </c>
      <c r="AB9" s="18">
        <v>18495504903.099998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12059226400</v>
      </c>
      <c r="U10" s="18">
        <v>6030773600</v>
      </c>
      <c r="V10" s="18">
        <v>6030773600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180093183</v>
      </c>
      <c r="T11" s="18">
        <v>0</v>
      </c>
      <c r="U11" s="18">
        <v>628593183</v>
      </c>
      <c r="V11" s="18">
        <v>0</v>
      </c>
      <c r="W11" s="18">
        <v>448228951.44</v>
      </c>
      <c r="X11" s="18">
        <v>180364231.56</v>
      </c>
      <c r="Y11" s="18">
        <v>448228951.43000001</v>
      </c>
      <c r="Z11" s="18">
        <v>448228951.43000001</v>
      </c>
      <c r="AA11" s="18">
        <v>448228951.43000001</v>
      </c>
      <c r="AB11" s="18">
        <v>448228951.43000001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487405000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475766967</v>
      </c>
      <c r="Z13" s="18">
        <v>474085221</v>
      </c>
      <c r="AA13" s="18">
        <v>474085221</v>
      </c>
      <c r="AB13" s="18">
        <v>474085221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7117500</v>
      </c>
      <c r="Z14" s="18">
        <v>7117500</v>
      </c>
      <c r="AA14" s="18">
        <v>7117500</v>
      </c>
      <c r="AB14" s="18">
        <v>7117500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87000000</v>
      </c>
      <c r="T15" s="18">
        <v>0</v>
      </c>
      <c r="U15" s="18">
        <v>3131000000</v>
      </c>
      <c r="V15" s="18">
        <v>0</v>
      </c>
      <c r="W15" s="18">
        <v>3059834320</v>
      </c>
      <c r="X15" s="18">
        <v>71165680</v>
      </c>
      <c r="Y15" s="18">
        <v>3059834320</v>
      </c>
      <c r="Z15" s="18">
        <v>3059834320</v>
      </c>
      <c r="AA15" s="18">
        <v>3059834320</v>
      </c>
      <c r="AB15" s="18">
        <v>3059834320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150000000</v>
      </c>
      <c r="U16" s="18">
        <v>14279600000</v>
      </c>
      <c r="V16" s="18">
        <v>0</v>
      </c>
      <c r="W16" s="18">
        <v>13799395640.379999</v>
      </c>
      <c r="X16" s="18">
        <v>480204359.62</v>
      </c>
      <c r="Y16" s="18">
        <v>13799395640.379999</v>
      </c>
      <c r="Z16" s="18">
        <v>13799395640.379999</v>
      </c>
      <c r="AA16" s="18">
        <v>13799395640.379999</v>
      </c>
      <c r="AB16" s="18">
        <v>13799395640.379999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1210749204</v>
      </c>
      <c r="X17" s="18">
        <v>1789250796</v>
      </c>
      <c r="Y17" s="18">
        <v>1166856307.9300001</v>
      </c>
      <c r="Z17" s="18">
        <v>1166856307.9300001</v>
      </c>
      <c r="AA17" s="18">
        <v>1166856307.9300001</v>
      </c>
      <c r="AB17" s="18">
        <v>1166856307.9300001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4535652076</v>
      </c>
      <c r="T18" s="18">
        <v>0</v>
      </c>
      <c r="U18" s="18">
        <v>8535652076</v>
      </c>
      <c r="V18" s="18">
        <v>0</v>
      </c>
      <c r="W18" s="18">
        <v>8535652076</v>
      </c>
      <c r="X18" s="18">
        <v>0</v>
      </c>
      <c r="Y18" s="18">
        <v>7908799617.4099998</v>
      </c>
      <c r="Z18" s="18">
        <v>7515858063.4099998</v>
      </c>
      <c r="AA18" s="18">
        <v>7249119023.4099998</v>
      </c>
      <c r="AB18" s="18">
        <v>7249119023.4099998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3497000000</v>
      </c>
      <c r="X19" s="18">
        <v>0</v>
      </c>
      <c r="Y19" s="18">
        <v>3394701463.54</v>
      </c>
      <c r="Z19" s="18">
        <v>1647573642.54</v>
      </c>
      <c r="AA19" s="18">
        <v>1647573642.54</v>
      </c>
      <c r="AB19" s="18">
        <v>1647573642.54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26017907</v>
      </c>
      <c r="T20" s="18">
        <v>0</v>
      </c>
      <c r="U20" s="18">
        <v>340748907</v>
      </c>
      <c r="V20" s="18">
        <v>0</v>
      </c>
      <c r="W20" s="18">
        <v>337321998.37</v>
      </c>
      <c r="X20" s="18">
        <v>3426908.63</v>
      </c>
      <c r="Y20" s="18">
        <v>336575700.80000001</v>
      </c>
      <c r="Z20" s="18">
        <v>336575700.80000001</v>
      </c>
      <c r="AA20" s="18">
        <v>336575700.80000001</v>
      </c>
      <c r="AB20" s="18">
        <v>336575700.80000001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425745271</v>
      </c>
      <c r="X21" s="18">
        <v>28154729</v>
      </c>
      <c r="Y21" s="18">
        <v>425745271</v>
      </c>
      <c r="Z21" s="18">
        <v>425745271</v>
      </c>
      <c r="AA21" s="18">
        <v>425745271</v>
      </c>
      <c r="AB21" s="18">
        <v>425745271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4713336788.3299999</v>
      </c>
      <c r="X22" s="18">
        <v>1440499.67</v>
      </c>
      <c r="Y22" s="18">
        <v>4709083406.5</v>
      </c>
      <c r="Z22" s="18">
        <v>4637614562.5699997</v>
      </c>
      <c r="AA22" s="18">
        <v>4622822047.5699997</v>
      </c>
      <c r="AB22" s="18">
        <v>4622822047.5699997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23255394428.52</v>
      </c>
      <c r="X23" s="18">
        <v>4424156.4800000004</v>
      </c>
      <c r="Y23" s="18">
        <v>23169018702.029999</v>
      </c>
      <c r="Z23" s="18">
        <v>22213901003.48</v>
      </c>
      <c r="AA23" s="18">
        <v>17768142825.669998</v>
      </c>
      <c r="AB23" s="18">
        <v>17768142825.669998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2632702904.1700001</v>
      </c>
      <c r="X24" s="18">
        <v>88901222.829999998</v>
      </c>
      <c r="Y24" s="18">
        <v>2556288162.9200001</v>
      </c>
      <c r="Z24" s="18">
        <v>1552173423.9100001</v>
      </c>
      <c r="AA24" s="18">
        <v>909818177.72000003</v>
      </c>
      <c r="AB24" s="18">
        <v>909818177.72000003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honeticPr fontId="37" type="noConversion"/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17.21875" bestFit="1" customWidth="1"/>
    <col min="3" max="3" width="10.6640625" bestFit="1" customWidth="1"/>
    <col min="4" max="4" width="11.6640625" bestFit="1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bestFit="1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178908367087.88998</v>
      </c>
      <c r="C4" t="s">
        <v>145</v>
      </c>
      <c r="D4" s="13">
        <f t="shared" ref="D4:D15" si="0">B4</f>
        <v>178908367087.88998</v>
      </c>
      <c r="F4" s="78" t="s">
        <v>145</v>
      </c>
      <c r="G4" s="13">
        <v>176323698682.47998</v>
      </c>
      <c r="H4" t="s">
        <v>145</v>
      </c>
      <c r="I4" s="13">
        <f t="shared" ref="I4:I15" si="1">G4</f>
        <v>176323698682.47998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0.92133422550375688</v>
      </c>
      <c r="Q4" s="72">
        <f t="shared" ref="Q4:Q15" si="5">+I4/N4</f>
        <v>0.90802381692844081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>
        <v>178908367087.88998</v>
      </c>
      <c r="F17" s="78" t="s">
        <v>148</v>
      </c>
      <c r="G17">
        <v>176323698682.47998</v>
      </c>
      <c r="K17" s="78" t="s">
        <v>148</v>
      </c>
      <c r="L17">
        <v>194184002000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30434390271.449997</v>
      </c>
      <c r="C23" t="str">
        <f t="shared" ref="C23:C34" si="6">A23</f>
        <v>Enero</v>
      </c>
      <c r="D23" s="13">
        <f t="shared" ref="D23:D34" si="7">B23</f>
        <v>30434390271.449997</v>
      </c>
      <c r="F23" s="78" t="s">
        <v>145</v>
      </c>
      <c r="G23" s="13">
        <v>28403688989.959999</v>
      </c>
      <c r="H23" t="str">
        <f t="shared" ref="H23:H34" si="8">F23</f>
        <v>Enero</v>
      </c>
      <c r="I23" s="13">
        <f t="shared" ref="I23:I34" si="9">G23</f>
        <v>28403688989.959999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0.99147094009844861</v>
      </c>
      <c r="Q23" s="72">
        <f t="shared" ref="Q23:Q34" si="13">+I23/N23</f>
        <v>0.92531613000827462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>
        <v>30434390271.449997</v>
      </c>
      <c r="F36" s="78" t="s">
        <v>148</v>
      </c>
      <c r="G36">
        <v>28403688989.959999</v>
      </c>
      <c r="K36" s="78" t="s">
        <v>148</v>
      </c>
      <c r="L36">
        <v>30696200000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209342757359.34</v>
      </c>
      <c r="E42" s="13">
        <v>204727387672.44</v>
      </c>
      <c r="F42" t="str">
        <f t="shared" ref="F42:F53" si="14">B42</f>
        <v>Enero</v>
      </c>
      <c r="G42" s="72">
        <f>+GETPIVOTDATA("SCOMPROMISO",$B$41,"Mes","Enero")/GETPIVOTDATA(" APR. VIGENTE",$B$41,"Mes","Enero")</f>
        <v>0.93090790339711627</v>
      </c>
      <c r="H42" s="72">
        <f>+GETPIVOTDATA("SOBLIGACION",$B$41,"Mes","Enero")/GETPIVOTDATA(" APR. VIGENTE",$B$41,"Mes","Enero")</f>
        <v>0.91038422169524735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>
        <v>224880202000</v>
      </c>
      <c r="D55">
        <v>209342757359.34</v>
      </c>
      <c r="E55">
        <v>204727387672.44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0.92133422550375688</v>
      </c>
      <c r="L61" s="35">
        <f>'BASE OBL-COM'!Q4</f>
        <v>0.90802381692844081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0.99147094009844861</v>
      </c>
      <c r="L76" s="76">
        <f>'BASE OBL-COM'!Q23</f>
        <v>0.92531613000827462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0.99147094009844861</v>
      </c>
      <c r="F88" s="64">
        <f>+Ejecucion!D11/Ejecucion!B11</f>
        <v>0.92531613000827462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0.93090790339711627</v>
      </c>
      <c r="L92" s="76">
        <f>'BASE OBL-COM'!H42</f>
        <v>0.91038422169524735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2026-01-14T21:19:53Z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